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irminghamcitycouncil-my.sharepoint.com/personal/vikki_rainbow_birmingham_gov_uk/Documents/Documents/-- WebTeam/Documents for web/Schools/"/>
    </mc:Choice>
  </mc:AlternateContent>
  <xr:revisionPtr revIDLastSave="0" documentId="8_{25AE0A72-0D72-4DE7-BBAE-97A938242C5E}" xr6:coauthVersionLast="47" xr6:coauthVersionMax="47" xr10:uidLastSave="{00000000-0000-0000-0000-000000000000}"/>
  <workbookProtection workbookAlgorithmName="SHA-512" workbookHashValue="hgqbO7VqLVm5REIHPkzU6YfrgZCWbr2cT2J3A5RmUDGoki094ALeFZ+V+01CmyKw+75YEe3uPJp7x1qx2uFn8g==" workbookSaltValue="wSECGiQ2LCmQxwX6Rn6j2Q==" workbookSpinCount="100000" lockStructure="1"/>
  <bookViews>
    <workbookView xWindow="-108" yWindow="-108" windowWidth="23256" windowHeight="12576" tabRatio="800" xr2:uid="{905A8FF4-5E75-4137-8902-89D83118564C}"/>
  </bookViews>
  <sheets>
    <sheet name="MENU " sheetId="4" r:id="rId1"/>
    <sheet name="Schl Budget Share Notification" sheetId="1" r:id="rId2"/>
    <sheet name="DC Carry Forward Notification" sheetId="5" r:id="rId3"/>
    <sheet name="Blade-Export_15-08-2022_cfrdata" sheetId="11" state="hidden" r:id="rId4"/>
    <sheet name=" DFC DETAIL" sheetId="6" state="hidden" r:id="rId5"/>
    <sheet name="Sheet1" sheetId="10" state="hidden" r:id="rId6"/>
    <sheet name="SBS Additions" sheetId="3" state="hidden" r:id="rId7"/>
    <sheet name="Carry Forward 2022" sheetId="2" state="hidden" r:id="rId8"/>
    <sheet name="Surplus Balance Analysis " sheetId="7" r:id="rId9"/>
    <sheet name="Surplus Balance Guidance Notes" sheetId="8" r:id="rId10"/>
    <sheet name="School List from APT" sheetId="9" state="hidden" r:id="rId11"/>
  </sheets>
  <externalReferences>
    <externalReference r:id="rId12"/>
  </externalReferences>
  <definedNames>
    <definedName name="_xlnm._FilterDatabase" localSheetId="4" hidden="1">' DFC DETAIL'!$A$1:$AA$207</definedName>
    <definedName name="_xlnm._FilterDatabase" localSheetId="3" hidden="1">'Blade-Export_15-08-2022_cfrdata'!$B$1:$CD$231</definedName>
    <definedName name="_xlnm._FilterDatabase" localSheetId="10" hidden="1">'School List from APT'!$A$1:$C$385</definedName>
    <definedName name="_xlnm.Print_Area" localSheetId="1">'Schl Budget Share Notification'!$A$2:$N$84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24" i="6" l="1"/>
  <c r="X124" i="6" s="1"/>
  <c r="W112" i="6"/>
  <c r="X112" i="6" s="1"/>
  <c r="W104" i="6"/>
  <c r="X104" i="6" s="1"/>
  <c r="W81" i="6"/>
  <c r="X81" i="6" s="1"/>
  <c r="W79" i="6"/>
  <c r="X79" i="6" s="1"/>
  <c r="W78" i="6"/>
  <c r="X78" i="6" s="1"/>
  <c r="W56" i="6"/>
  <c r="X56" i="6" s="1"/>
  <c r="W25" i="6"/>
  <c r="X25" i="6" s="1"/>
  <c r="W23" i="6"/>
  <c r="X23" i="6" s="1"/>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3" i="6"/>
  <c r="AB4" i="6"/>
  <c r="AB5" i="6"/>
  <c r="AB2" i="6"/>
  <c r="E231" i="11"/>
  <c r="D231" i="11"/>
  <c r="C231" i="11"/>
  <c r="E230" i="11"/>
  <c r="D230" i="11"/>
  <c r="C230" i="11"/>
  <c r="E229" i="11"/>
  <c r="D229" i="11"/>
  <c r="C229" i="11"/>
  <c r="E228" i="11"/>
  <c r="D228" i="11"/>
  <c r="C228" i="11"/>
  <c r="E227" i="11"/>
  <c r="D227" i="11"/>
  <c r="C227" i="11"/>
  <c r="E226" i="11"/>
  <c r="D226" i="11"/>
  <c r="C226" i="11"/>
  <c r="E225" i="11"/>
  <c r="D225" i="11"/>
  <c r="C225" i="11"/>
  <c r="E224" i="11"/>
  <c r="D224" i="11"/>
  <c r="C224" i="11"/>
  <c r="E223" i="11"/>
  <c r="D223" i="11"/>
  <c r="C223" i="11"/>
  <c r="E222" i="11"/>
  <c r="D222" i="11"/>
  <c r="C222" i="11"/>
  <c r="E221" i="11"/>
  <c r="D221" i="11"/>
  <c r="C221" i="11"/>
  <c r="E220" i="11"/>
  <c r="D220" i="11"/>
  <c r="C220" i="11"/>
  <c r="E219" i="11"/>
  <c r="D219" i="11"/>
  <c r="C219" i="11"/>
  <c r="E218" i="11"/>
  <c r="D218" i="11"/>
  <c r="C218" i="11"/>
  <c r="E217" i="11"/>
  <c r="D217" i="11"/>
  <c r="C217" i="11"/>
  <c r="E216" i="11"/>
  <c r="D216" i="11"/>
  <c r="C216" i="11"/>
  <c r="E215" i="11"/>
  <c r="D215" i="11"/>
  <c r="C215" i="11"/>
  <c r="E214" i="11"/>
  <c r="D214" i="11"/>
  <c r="C214" i="11"/>
  <c r="E213" i="11"/>
  <c r="D213" i="11"/>
  <c r="C213" i="11"/>
  <c r="E212" i="11"/>
  <c r="D212" i="11"/>
  <c r="C212" i="11"/>
  <c r="E211" i="11"/>
  <c r="D211" i="11"/>
  <c r="C211" i="11"/>
  <c r="E210" i="11"/>
  <c r="D210" i="11"/>
  <c r="C210" i="11"/>
  <c r="E209" i="11"/>
  <c r="D209" i="11"/>
  <c r="C209" i="11"/>
  <c r="E208" i="11"/>
  <c r="D208" i="11"/>
  <c r="C208" i="11"/>
  <c r="E207" i="11"/>
  <c r="D207" i="11"/>
  <c r="C207" i="11"/>
  <c r="E206" i="11"/>
  <c r="D206" i="11"/>
  <c r="C206" i="11"/>
  <c r="E205" i="11"/>
  <c r="D205" i="11"/>
  <c r="C205" i="11"/>
  <c r="E204" i="11"/>
  <c r="D204" i="11"/>
  <c r="C204" i="11"/>
  <c r="E203" i="11"/>
  <c r="D203" i="11"/>
  <c r="C203" i="11"/>
  <c r="E202" i="11"/>
  <c r="D202" i="11"/>
  <c r="C202" i="11"/>
  <c r="E201" i="11"/>
  <c r="D201" i="11"/>
  <c r="C201" i="11"/>
  <c r="E200" i="11"/>
  <c r="D200" i="11"/>
  <c r="C200" i="11"/>
  <c r="E199" i="11"/>
  <c r="D199" i="11"/>
  <c r="C199" i="11"/>
  <c r="E198" i="11"/>
  <c r="D198" i="11"/>
  <c r="C198" i="11"/>
  <c r="E197" i="11"/>
  <c r="D197" i="11"/>
  <c r="C197" i="11"/>
  <c r="E196" i="11"/>
  <c r="D196" i="11"/>
  <c r="C196" i="11"/>
  <c r="E195" i="11"/>
  <c r="D195" i="11"/>
  <c r="C195" i="11"/>
  <c r="E194" i="11"/>
  <c r="D194" i="11"/>
  <c r="C194" i="11"/>
  <c r="E193" i="11"/>
  <c r="D193" i="11"/>
  <c r="C193" i="11"/>
  <c r="E192" i="11"/>
  <c r="D192" i="11"/>
  <c r="C192" i="11"/>
  <c r="E191" i="11"/>
  <c r="D191" i="11"/>
  <c r="C191" i="11"/>
  <c r="E190" i="11"/>
  <c r="D190" i="11"/>
  <c r="C190" i="11"/>
  <c r="E189" i="11"/>
  <c r="D189" i="11"/>
  <c r="C189" i="11"/>
  <c r="E188" i="11"/>
  <c r="D188" i="11"/>
  <c r="C188" i="11"/>
  <c r="E187" i="11"/>
  <c r="D187" i="11"/>
  <c r="C187" i="11"/>
  <c r="E186" i="11"/>
  <c r="D186" i="11"/>
  <c r="C186" i="11"/>
  <c r="E185" i="11"/>
  <c r="D185" i="11"/>
  <c r="C185" i="11"/>
  <c r="E184" i="11"/>
  <c r="D184" i="11"/>
  <c r="C184" i="11"/>
  <c r="E183" i="11"/>
  <c r="D183" i="11"/>
  <c r="C183" i="11"/>
  <c r="E182" i="11"/>
  <c r="D182" i="11"/>
  <c r="C182" i="11"/>
  <c r="E181" i="11"/>
  <c r="D181" i="11"/>
  <c r="C181" i="11"/>
  <c r="E180" i="11"/>
  <c r="D180" i="11"/>
  <c r="C180" i="11"/>
  <c r="E179" i="11"/>
  <c r="D179" i="11"/>
  <c r="C179" i="11"/>
  <c r="E178" i="11"/>
  <c r="D178" i="11"/>
  <c r="C178" i="11"/>
  <c r="E177" i="11"/>
  <c r="D177" i="11"/>
  <c r="C177" i="11"/>
  <c r="E176" i="11"/>
  <c r="D176" i="11"/>
  <c r="C176" i="11"/>
  <c r="E175" i="11"/>
  <c r="D175" i="11"/>
  <c r="C175" i="11"/>
  <c r="E174" i="11"/>
  <c r="D174" i="11"/>
  <c r="C174" i="11"/>
  <c r="E173" i="11"/>
  <c r="D173" i="11"/>
  <c r="C173" i="11"/>
  <c r="E172" i="11"/>
  <c r="D172" i="11"/>
  <c r="C172" i="11"/>
  <c r="E171" i="11"/>
  <c r="D171" i="11"/>
  <c r="C171" i="11"/>
  <c r="E170" i="11"/>
  <c r="D170" i="11"/>
  <c r="C170" i="11"/>
  <c r="E169" i="11"/>
  <c r="D169" i="11"/>
  <c r="C169" i="11"/>
  <c r="E168" i="11"/>
  <c r="D168" i="11"/>
  <c r="C168" i="11"/>
  <c r="E167" i="11"/>
  <c r="D167" i="11"/>
  <c r="C167" i="11"/>
  <c r="E166" i="11"/>
  <c r="D166" i="11"/>
  <c r="C166" i="11"/>
  <c r="E165" i="11"/>
  <c r="D165" i="11"/>
  <c r="C165" i="11"/>
  <c r="E164" i="11"/>
  <c r="D164" i="11"/>
  <c r="C164" i="11"/>
  <c r="E163" i="11"/>
  <c r="D163" i="11"/>
  <c r="C163" i="11"/>
  <c r="E162" i="11"/>
  <c r="D162" i="11"/>
  <c r="C162" i="11"/>
  <c r="E161" i="11"/>
  <c r="D161" i="11"/>
  <c r="C161" i="11"/>
  <c r="E160" i="11"/>
  <c r="D160" i="11"/>
  <c r="C160" i="11"/>
  <c r="E159" i="11"/>
  <c r="D159" i="11"/>
  <c r="C159" i="11"/>
  <c r="E158" i="11"/>
  <c r="D158" i="11"/>
  <c r="C158" i="11"/>
  <c r="E157" i="11"/>
  <c r="D157" i="11"/>
  <c r="C157" i="11"/>
  <c r="E156" i="11"/>
  <c r="D156" i="11"/>
  <c r="C156" i="11"/>
  <c r="E155" i="11"/>
  <c r="D155" i="11"/>
  <c r="C155" i="11"/>
  <c r="E154" i="11"/>
  <c r="D154" i="11"/>
  <c r="C154" i="11"/>
  <c r="E153" i="11"/>
  <c r="D153" i="11"/>
  <c r="C153" i="11"/>
  <c r="E152" i="11"/>
  <c r="D152" i="11"/>
  <c r="C152" i="11"/>
  <c r="E151" i="11"/>
  <c r="D151" i="11"/>
  <c r="C151" i="11"/>
  <c r="E150" i="11"/>
  <c r="D150" i="11"/>
  <c r="C150" i="11"/>
  <c r="E149" i="11"/>
  <c r="D149" i="11"/>
  <c r="C149" i="11"/>
  <c r="E148" i="11"/>
  <c r="D148" i="11"/>
  <c r="C148" i="11"/>
  <c r="E147" i="11"/>
  <c r="D147" i="11"/>
  <c r="C147" i="11"/>
  <c r="E146" i="11"/>
  <c r="D146" i="11"/>
  <c r="C146" i="11"/>
  <c r="E145" i="11"/>
  <c r="D145" i="11"/>
  <c r="C145" i="11"/>
  <c r="E144" i="11"/>
  <c r="D144" i="11"/>
  <c r="C144" i="11"/>
  <c r="E143" i="11"/>
  <c r="D143" i="11"/>
  <c r="C143" i="11"/>
  <c r="E142" i="11"/>
  <c r="D142" i="11"/>
  <c r="C142" i="11"/>
  <c r="E141" i="11"/>
  <c r="D141" i="11"/>
  <c r="C141" i="11"/>
  <c r="E140" i="11"/>
  <c r="D140" i="11"/>
  <c r="C140" i="11"/>
  <c r="E139" i="11"/>
  <c r="D139" i="11"/>
  <c r="C139" i="11"/>
  <c r="E138" i="11"/>
  <c r="D138" i="11"/>
  <c r="C138" i="11"/>
  <c r="E137" i="11"/>
  <c r="D137" i="11"/>
  <c r="C137" i="11"/>
  <c r="E136" i="11"/>
  <c r="D136" i="11"/>
  <c r="C136" i="11"/>
  <c r="E135" i="11"/>
  <c r="D135" i="11"/>
  <c r="C135" i="11"/>
  <c r="E134" i="11"/>
  <c r="D134" i="11"/>
  <c r="C134" i="11"/>
  <c r="E133" i="11"/>
  <c r="D133" i="11"/>
  <c r="C133" i="11"/>
  <c r="E132" i="11"/>
  <c r="D132" i="11"/>
  <c r="C132" i="11"/>
  <c r="E131" i="11"/>
  <c r="D131" i="11"/>
  <c r="C131" i="11"/>
  <c r="E130" i="11"/>
  <c r="D130" i="11"/>
  <c r="C130" i="11"/>
  <c r="E129" i="11"/>
  <c r="D129" i="11"/>
  <c r="C129" i="11"/>
  <c r="E128" i="11"/>
  <c r="D128" i="11"/>
  <c r="C128" i="11"/>
  <c r="E127" i="11"/>
  <c r="D127" i="11"/>
  <c r="C127" i="11"/>
  <c r="E126" i="11"/>
  <c r="D126" i="11"/>
  <c r="C126" i="11"/>
  <c r="E125" i="11"/>
  <c r="D125" i="11"/>
  <c r="C125" i="11"/>
  <c r="E124" i="11"/>
  <c r="D124" i="11"/>
  <c r="C124" i="11"/>
  <c r="E123" i="11"/>
  <c r="D123" i="11"/>
  <c r="C123" i="11"/>
  <c r="E122" i="11"/>
  <c r="D122" i="11"/>
  <c r="C122" i="11"/>
  <c r="E121" i="11"/>
  <c r="D121" i="11"/>
  <c r="C121" i="11"/>
  <c r="E120" i="11"/>
  <c r="D120" i="11"/>
  <c r="C120" i="11"/>
  <c r="E119" i="11"/>
  <c r="D119" i="11"/>
  <c r="C119" i="11"/>
  <c r="E118" i="11"/>
  <c r="D118" i="11"/>
  <c r="C118" i="11"/>
  <c r="E117" i="11"/>
  <c r="D117" i="11"/>
  <c r="C117" i="11"/>
  <c r="E116" i="11"/>
  <c r="D116" i="11"/>
  <c r="C116" i="11"/>
  <c r="E115" i="11"/>
  <c r="D115" i="11"/>
  <c r="C115" i="11"/>
  <c r="E114" i="11"/>
  <c r="D114" i="11"/>
  <c r="C114" i="11"/>
  <c r="E113" i="11"/>
  <c r="D113" i="11"/>
  <c r="C113" i="11"/>
  <c r="E112" i="11"/>
  <c r="D112" i="11"/>
  <c r="C112" i="11"/>
  <c r="E111" i="11"/>
  <c r="D111" i="11"/>
  <c r="C111" i="11"/>
  <c r="E110" i="11"/>
  <c r="D110" i="11"/>
  <c r="C110" i="11"/>
  <c r="E109" i="11"/>
  <c r="D109" i="11"/>
  <c r="C109" i="11"/>
  <c r="E108" i="11"/>
  <c r="D108" i="11"/>
  <c r="C108" i="11"/>
  <c r="E107" i="11"/>
  <c r="D107" i="11"/>
  <c r="C107" i="11"/>
  <c r="E106" i="11"/>
  <c r="D106" i="11"/>
  <c r="C106" i="11"/>
  <c r="E105" i="11"/>
  <c r="D105" i="11"/>
  <c r="C105" i="11"/>
  <c r="E104" i="11"/>
  <c r="D104" i="11"/>
  <c r="C104" i="11"/>
  <c r="E103" i="11"/>
  <c r="D103" i="11"/>
  <c r="C103" i="11"/>
  <c r="E102" i="11"/>
  <c r="D102" i="11"/>
  <c r="C102" i="11"/>
  <c r="E101" i="11"/>
  <c r="D101" i="11"/>
  <c r="C101" i="11"/>
  <c r="E100" i="11"/>
  <c r="D100" i="11"/>
  <c r="C100" i="11"/>
  <c r="E99" i="11"/>
  <c r="D99" i="11"/>
  <c r="C99" i="11"/>
  <c r="E98" i="11"/>
  <c r="D98" i="11"/>
  <c r="C98" i="11"/>
  <c r="E97" i="11"/>
  <c r="D97" i="11"/>
  <c r="C97" i="11"/>
  <c r="E96" i="11"/>
  <c r="D96" i="11"/>
  <c r="C96" i="11"/>
  <c r="E95" i="11"/>
  <c r="D95" i="11"/>
  <c r="C95" i="11"/>
  <c r="E94" i="11"/>
  <c r="D94" i="11"/>
  <c r="C94" i="11"/>
  <c r="E93" i="11"/>
  <c r="D93" i="11"/>
  <c r="C93" i="11"/>
  <c r="E92" i="11"/>
  <c r="D92" i="11"/>
  <c r="C92" i="11"/>
  <c r="E91" i="11"/>
  <c r="D91" i="11"/>
  <c r="C91" i="11"/>
  <c r="E90" i="11"/>
  <c r="D90" i="11"/>
  <c r="C90" i="11"/>
  <c r="E89" i="11"/>
  <c r="D89" i="11"/>
  <c r="C89" i="11"/>
  <c r="E88" i="11"/>
  <c r="D88" i="11"/>
  <c r="C88" i="11"/>
  <c r="E87" i="11"/>
  <c r="D87" i="11"/>
  <c r="C87" i="11"/>
  <c r="E86" i="11"/>
  <c r="D86" i="11"/>
  <c r="C86" i="11"/>
  <c r="E85" i="11"/>
  <c r="D85" i="11"/>
  <c r="C85" i="11"/>
  <c r="E84" i="11"/>
  <c r="D84" i="11"/>
  <c r="C84" i="11"/>
  <c r="E83" i="11"/>
  <c r="D83" i="11"/>
  <c r="C83" i="11"/>
  <c r="E82" i="11"/>
  <c r="D82" i="11"/>
  <c r="C82" i="11"/>
  <c r="E81" i="11"/>
  <c r="D81" i="11"/>
  <c r="C81" i="11"/>
  <c r="E80" i="11"/>
  <c r="D80" i="11"/>
  <c r="C80" i="11"/>
  <c r="E79" i="11"/>
  <c r="D79" i="11"/>
  <c r="C79" i="11"/>
  <c r="E78" i="11"/>
  <c r="D78" i="11"/>
  <c r="C78" i="11"/>
  <c r="E77" i="11"/>
  <c r="D77" i="11"/>
  <c r="C77" i="11"/>
  <c r="E76" i="11"/>
  <c r="D76" i="11"/>
  <c r="C76" i="11"/>
  <c r="E75" i="11"/>
  <c r="D75" i="11"/>
  <c r="C75" i="11"/>
  <c r="E74" i="11"/>
  <c r="D74" i="11"/>
  <c r="C74" i="11"/>
  <c r="E73" i="11"/>
  <c r="D73" i="11"/>
  <c r="C73" i="11"/>
  <c r="E72" i="11"/>
  <c r="D72" i="11"/>
  <c r="C72" i="11"/>
  <c r="E71" i="11"/>
  <c r="D71" i="11"/>
  <c r="C71" i="11"/>
  <c r="E70" i="11"/>
  <c r="D70" i="11"/>
  <c r="C70" i="11"/>
  <c r="E69" i="11"/>
  <c r="D69" i="11"/>
  <c r="C69" i="11"/>
  <c r="E68" i="11"/>
  <c r="D68" i="11"/>
  <c r="C68" i="11"/>
  <c r="E67" i="11"/>
  <c r="D67" i="11"/>
  <c r="C67" i="11"/>
  <c r="E66" i="11"/>
  <c r="D66" i="11"/>
  <c r="C66" i="11"/>
  <c r="E65" i="11"/>
  <c r="D65" i="11"/>
  <c r="C65" i="11"/>
  <c r="E64" i="11"/>
  <c r="D64" i="11"/>
  <c r="C64" i="11"/>
  <c r="E63" i="11"/>
  <c r="D63" i="11"/>
  <c r="C63" i="11"/>
  <c r="E62" i="11"/>
  <c r="D62" i="11"/>
  <c r="C62" i="11"/>
  <c r="E61" i="11"/>
  <c r="D61" i="11"/>
  <c r="C61" i="11"/>
  <c r="E60" i="11"/>
  <c r="D60" i="11"/>
  <c r="C60" i="11"/>
  <c r="E59" i="11"/>
  <c r="D59" i="11"/>
  <c r="C59" i="11"/>
  <c r="E58" i="11"/>
  <c r="D58" i="11"/>
  <c r="C58" i="11"/>
  <c r="E57" i="11"/>
  <c r="D57" i="11"/>
  <c r="C57" i="11"/>
  <c r="E56" i="11"/>
  <c r="D56" i="11"/>
  <c r="C56" i="11"/>
  <c r="E55" i="11"/>
  <c r="D55" i="11"/>
  <c r="C55" i="11"/>
  <c r="E54" i="11"/>
  <c r="D54" i="11"/>
  <c r="C54" i="11"/>
  <c r="E53" i="11"/>
  <c r="D53" i="11"/>
  <c r="C53" i="11"/>
  <c r="E52" i="11"/>
  <c r="D52" i="11"/>
  <c r="C52" i="11"/>
  <c r="E51" i="11"/>
  <c r="D51" i="11"/>
  <c r="C51" i="11"/>
  <c r="E50" i="11"/>
  <c r="D50" i="11"/>
  <c r="C50" i="11"/>
  <c r="E49" i="11"/>
  <c r="D49" i="11"/>
  <c r="C49" i="11"/>
  <c r="E48" i="11"/>
  <c r="D48" i="11"/>
  <c r="C48" i="11"/>
  <c r="E47" i="11"/>
  <c r="D47" i="11"/>
  <c r="C47" i="11"/>
  <c r="E46" i="11"/>
  <c r="D46" i="11"/>
  <c r="C46" i="11"/>
  <c r="E45" i="11"/>
  <c r="D45" i="11"/>
  <c r="C45" i="11"/>
  <c r="E44" i="11"/>
  <c r="D44" i="11"/>
  <c r="C44" i="11"/>
  <c r="E43" i="11"/>
  <c r="D43" i="11"/>
  <c r="C43" i="11"/>
  <c r="E42" i="11"/>
  <c r="D42" i="11"/>
  <c r="C42" i="11"/>
  <c r="E41" i="11"/>
  <c r="D41" i="11"/>
  <c r="C41" i="11"/>
  <c r="E40" i="11"/>
  <c r="D40" i="11"/>
  <c r="C40" i="11"/>
  <c r="E39" i="11"/>
  <c r="D39" i="11"/>
  <c r="C39" i="11"/>
  <c r="E38" i="11"/>
  <c r="D38" i="11"/>
  <c r="C38" i="11"/>
  <c r="E37" i="11"/>
  <c r="D37" i="11"/>
  <c r="C37" i="11"/>
  <c r="E36" i="11"/>
  <c r="D36" i="11"/>
  <c r="C36" i="11"/>
  <c r="E35" i="11"/>
  <c r="D35" i="11"/>
  <c r="C35" i="11"/>
  <c r="E34" i="11"/>
  <c r="D34" i="11"/>
  <c r="C34" i="11"/>
  <c r="E33" i="11"/>
  <c r="D33" i="11"/>
  <c r="C33" i="11"/>
  <c r="E32" i="11"/>
  <c r="D32" i="11"/>
  <c r="C32" i="11"/>
  <c r="E31" i="11"/>
  <c r="D31" i="11"/>
  <c r="C31" i="11"/>
  <c r="E30" i="11"/>
  <c r="D30" i="11"/>
  <c r="C30" i="11"/>
  <c r="E29" i="11"/>
  <c r="D29" i="11"/>
  <c r="C29" i="11"/>
  <c r="E28" i="11"/>
  <c r="D28" i="11"/>
  <c r="C28" i="11"/>
  <c r="E27" i="11"/>
  <c r="D27" i="11"/>
  <c r="C27" i="11"/>
  <c r="E26" i="11"/>
  <c r="D26" i="11"/>
  <c r="C26" i="11"/>
  <c r="E25" i="11"/>
  <c r="D25" i="11"/>
  <c r="C25" i="11"/>
  <c r="E24" i="11"/>
  <c r="D24" i="11"/>
  <c r="C24" i="11"/>
  <c r="E23" i="11"/>
  <c r="D23" i="11"/>
  <c r="C23" i="11"/>
  <c r="E22" i="11"/>
  <c r="D22" i="11"/>
  <c r="C22" i="11"/>
  <c r="E21" i="11"/>
  <c r="D21" i="11"/>
  <c r="C21" i="11"/>
  <c r="E20" i="11"/>
  <c r="D20" i="11"/>
  <c r="C20" i="11"/>
  <c r="E19" i="11"/>
  <c r="D19" i="11"/>
  <c r="C19" i="11"/>
  <c r="E18" i="11"/>
  <c r="D18" i="11"/>
  <c r="C18" i="11"/>
  <c r="E17" i="11"/>
  <c r="D17" i="11"/>
  <c r="C17" i="11"/>
  <c r="E16" i="11"/>
  <c r="D16" i="11"/>
  <c r="C16" i="11"/>
  <c r="E15" i="11"/>
  <c r="D15" i="11"/>
  <c r="C15" i="11"/>
  <c r="E14" i="11"/>
  <c r="D14" i="11"/>
  <c r="C14" i="11"/>
  <c r="E13" i="11"/>
  <c r="D13" i="11"/>
  <c r="C13" i="11"/>
  <c r="E12" i="11"/>
  <c r="D12" i="11"/>
  <c r="C12" i="11"/>
  <c r="E11" i="11"/>
  <c r="D11" i="11"/>
  <c r="C11" i="11"/>
  <c r="E10" i="11"/>
  <c r="D10" i="11"/>
  <c r="C10" i="11"/>
  <c r="E9" i="11"/>
  <c r="D9" i="11"/>
  <c r="C9" i="11"/>
  <c r="E8" i="11"/>
  <c r="D8" i="11"/>
  <c r="C8" i="11"/>
  <c r="E7" i="11"/>
  <c r="D7" i="11"/>
  <c r="C7" i="11"/>
  <c r="E6" i="11"/>
  <c r="D6" i="11"/>
  <c r="C6" i="11"/>
  <c r="E5" i="11"/>
  <c r="D5" i="11"/>
  <c r="C5" i="11"/>
  <c r="E4" i="11"/>
  <c r="D4" i="11"/>
  <c r="C4" i="11"/>
  <c r="E3" i="11"/>
  <c r="D3" i="11"/>
  <c r="C3" i="11"/>
  <c r="E2" i="11"/>
  <c r="D2" i="11"/>
  <c r="C2" i="11"/>
  <c r="X2" i="6"/>
  <c r="Y193" i="6"/>
  <c r="X193" i="6"/>
  <c r="Y192" i="6"/>
  <c r="X192" i="6"/>
  <c r="Y191" i="6"/>
  <c r="X191" i="6"/>
  <c r="Y190" i="6"/>
  <c r="X190" i="6"/>
  <c r="Y189" i="6"/>
  <c r="X189" i="6"/>
  <c r="Y188" i="6"/>
  <c r="X188" i="6"/>
  <c r="Z188" i="6" s="1"/>
  <c r="Y187" i="6"/>
  <c r="X187" i="6"/>
  <c r="Y186" i="6"/>
  <c r="X186" i="6"/>
  <c r="Y185" i="6"/>
  <c r="X185" i="6"/>
  <c r="Y184" i="6"/>
  <c r="X184" i="6"/>
  <c r="Y183" i="6"/>
  <c r="X183" i="6"/>
  <c r="Y182" i="6"/>
  <c r="X182" i="6"/>
  <c r="Y181" i="6"/>
  <c r="X181" i="6"/>
  <c r="Y180" i="6"/>
  <c r="X180" i="6"/>
  <c r="Z180" i="6" s="1"/>
  <c r="Y179" i="6"/>
  <c r="X179" i="6"/>
  <c r="Y178" i="6"/>
  <c r="X178" i="6"/>
  <c r="Y177" i="6"/>
  <c r="X177" i="6"/>
  <c r="Y176" i="6"/>
  <c r="X176" i="6"/>
  <c r="Z176" i="6" s="1"/>
  <c r="Y175" i="6"/>
  <c r="X175" i="6"/>
  <c r="Y174" i="6"/>
  <c r="X174" i="6"/>
  <c r="Y172" i="6"/>
  <c r="X172" i="6"/>
  <c r="Y171" i="6"/>
  <c r="X171" i="6"/>
  <c r="Z171" i="6" s="1"/>
  <c r="Y170" i="6"/>
  <c r="X170" i="6"/>
  <c r="Y169" i="6"/>
  <c r="X169" i="6"/>
  <c r="Y168" i="6"/>
  <c r="X168" i="6"/>
  <c r="Y167" i="6"/>
  <c r="X167" i="6"/>
  <c r="Z167" i="6" s="1"/>
  <c r="Y166" i="6"/>
  <c r="X166" i="6"/>
  <c r="Y165" i="6"/>
  <c r="X165" i="6"/>
  <c r="Y164" i="6"/>
  <c r="X164" i="6"/>
  <c r="Y163" i="6"/>
  <c r="X163" i="6"/>
  <c r="Z163" i="6" s="1"/>
  <c r="Y162" i="6"/>
  <c r="X162" i="6"/>
  <c r="Y161" i="6"/>
  <c r="X161" i="6"/>
  <c r="Y160" i="6"/>
  <c r="X160" i="6"/>
  <c r="Y159" i="6"/>
  <c r="X159" i="6"/>
  <c r="Z159" i="6" s="1"/>
  <c r="Y158" i="6"/>
  <c r="X158" i="6"/>
  <c r="Y157" i="6"/>
  <c r="X157" i="6"/>
  <c r="Y155" i="6"/>
  <c r="X155" i="6"/>
  <c r="Y154" i="6"/>
  <c r="X154" i="6"/>
  <c r="Z154" i="6" s="1"/>
  <c r="Y153" i="6"/>
  <c r="X153" i="6"/>
  <c r="Y152" i="6"/>
  <c r="X152" i="6"/>
  <c r="Y151" i="6"/>
  <c r="X151" i="6"/>
  <c r="Y150" i="6"/>
  <c r="X150" i="6"/>
  <c r="Z150" i="6" s="1"/>
  <c r="Y149" i="6"/>
  <c r="X149" i="6"/>
  <c r="Y148" i="6"/>
  <c r="X148" i="6"/>
  <c r="Y147" i="6"/>
  <c r="X147" i="6"/>
  <c r="Y146" i="6"/>
  <c r="X146" i="6"/>
  <c r="Y145" i="6"/>
  <c r="X145" i="6"/>
  <c r="Y144" i="6"/>
  <c r="X144" i="6"/>
  <c r="Y143" i="6"/>
  <c r="X143" i="6"/>
  <c r="Y142" i="6"/>
  <c r="X142" i="6"/>
  <c r="Y141" i="6"/>
  <c r="X141" i="6"/>
  <c r="Y140" i="6"/>
  <c r="X140" i="6"/>
  <c r="Y139" i="6"/>
  <c r="X139" i="6"/>
  <c r="Y138" i="6"/>
  <c r="X138" i="6"/>
  <c r="Z138" i="6" s="1"/>
  <c r="Y137" i="6"/>
  <c r="X137" i="6"/>
  <c r="Y136" i="6"/>
  <c r="X136" i="6"/>
  <c r="Y135" i="6"/>
  <c r="X135" i="6"/>
  <c r="Y134" i="6"/>
  <c r="X134" i="6"/>
  <c r="Y133" i="6"/>
  <c r="X133" i="6"/>
  <c r="Y132" i="6"/>
  <c r="X132" i="6"/>
  <c r="Y131" i="6"/>
  <c r="X131" i="6"/>
  <c r="Y130" i="6"/>
  <c r="X130" i="6"/>
  <c r="Y129" i="6"/>
  <c r="X129" i="6"/>
  <c r="Y127" i="6"/>
  <c r="X127" i="6"/>
  <c r="Y126" i="6"/>
  <c r="X126" i="6"/>
  <c r="Y125" i="6"/>
  <c r="X125" i="6"/>
  <c r="Y124" i="6"/>
  <c r="Y123" i="6"/>
  <c r="X123" i="6"/>
  <c r="Y122" i="6"/>
  <c r="X122" i="6"/>
  <c r="Z122" i="6" s="1"/>
  <c r="Y121" i="6"/>
  <c r="X121" i="6"/>
  <c r="Z121" i="6" s="1"/>
  <c r="Y120" i="6"/>
  <c r="X120" i="6"/>
  <c r="Z120" i="6" s="1"/>
  <c r="Y119" i="6"/>
  <c r="X119" i="6"/>
  <c r="Y118" i="6"/>
  <c r="X118" i="6"/>
  <c r="Y117" i="6"/>
  <c r="X117" i="6"/>
  <c r="Z117" i="6" s="1"/>
  <c r="Y116" i="6"/>
  <c r="X116" i="6"/>
  <c r="Y115" i="6"/>
  <c r="X115" i="6"/>
  <c r="Y114" i="6"/>
  <c r="X114" i="6"/>
  <c r="Y113" i="6"/>
  <c r="X113" i="6"/>
  <c r="Z113" i="6" s="1"/>
  <c r="Y112" i="6"/>
  <c r="Y111" i="6"/>
  <c r="X111" i="6"/>
  <c r="Y110" i="6"/>
  <c r="X110" i="6"/>
  <c r="Y109" i="6"/>
  <c r="X109" i="6"/>
  <c r="Y108" i="6"/>
  <c r="X108" i="6"/>
  <c r="Y107" i="6"/>
  <c r="X107" i="6"/>
  <c r="Y106" i="6"/>
  <c r="X106" i="6"/>
  <c r="Y105" i="6"/>
  <c r="X105" i="6"/>
  <c r="Y104" i="6"/>
  <c r="Y103" i="6"/>
  <c r="X103" i="6"/>
  <c r="Z103" i="6" s="1"/>
  <c r="Y102" i="6"/>
  <c r="X102" i="6"/>
  <c r="Z102" i="6" s="1"/>
  <c r="Y101" i="6"/>
  <c r="X101" i="6"/>
  <c r="Y100" i="6"/>
  <c r="X100" i="6"/>
  <c r="Y99" i="6"/>
  <c r="X99" i="6"/>
  <c r="Y98" i="6"/>
  <c r="X98" i="6"/>
  <c r="Y97" i="6"/>
  <c r="X97" i="6"/>
  <c r="Z97" i="6" s="1"/>
  <c r="Y96" i="6"/>
  <c r="X96" i="6"/>
  <c r="Z96" i="6" s="1"/>
  <c r="Y95" i="6"/>
  <c r="X95" i="6"/>
  <c r="Z95" i="6" s="1"/>
  <c r="Y94" i="6"/>
  <c r="X94" i="6"/>
  <c r="Y93" i="6"/>
  <c r="X93" i="6"/>
  <c r="Y92" i="6"/>
  <c r="X92" i="6"/>
  <c r="Y91" i="6"/>
  <c r="X91" i="6"/>
  <c r="Y90" i="6"/>
  <c r="X90" i="6"/>
  <c r="Z90" i="6" s="1"/>
  <c r="Y89" i="6"/>
  <c r="X89" i="6"/>
  <c r="Z89" i="6" s="1"/>
  <c r="Y88" i="6"/>
  <c r="X88" i="6"/>
  <c r="Z88" i="6" s="1"/>
  <c r="Y87" i="6"/>
  <c r="X87" i="6"/>
  <c r="Y86" i="6"/>
  <c r="X86" i="6"/>
  <c r="Y85" i="6"/>
  <c r="X85" i="6"/>
  <c r="Z85" i="6" s="1"/>
  <c r="Y84" i="6"/>
  <c r="X84" i="6"/>
  <c r="Y83" i="6"/>
  <c r="X83" i="6"/>
  <c r="Y82" i="6"/>
  <c r="X82" i="6"/>
  <c r="Z82" i="6" s="1"/>
  <c r="Y81" i="6"/>
  <c r="Y80" i="6"/>
  <c r="X80" i="6"/>
  <c r="Y79" i="6"/>
  <c r="Y78" i="6"/>
  <c r="Y77" i="6"/>
  <c r="X77" i="6"/>
  <c r="Y76" i="6"/>
  <c r="X76" i="6"/>
  <c r="Y75" i="6"/>
  <c r="X75" i="6"/>
  <c r="Y74" i="6"/>
  <c r="X74" i="6"/>
  <c r="Y73" i="6"/>
  <c r="X73" i="6"/>
  <c r="Y72" i="6"/>
  <c r="X72" i="6"/>
  <c r="Y71" i="6"/>
  <c r="X71" i="6"/>
  <c r="Y70" i="6"/>
  <c r="X70" i="6"/>
  <c r="Y69" i="6"/>
  <c r="X69" i="6"/>
  <c r="Y68" i="6"/>
  <c r="Z68" i="6" s="1"/>
  <c r="X68" i="6"/>
  <c r="Y67" i="6"/>
  <c r="X67" i="6"/>
  <c r="Y66" i="6"/>
  <c r="X66" i="6"/>
  <c r="Y65" i="6"/>
  <c r="X65" i="6"/>
  <c r="Y64" i="6"/>
  <c r="X64" i="6"/>
  <c r="Y63" i="6"/>
  <c r="X63" i="6"/>
  <c r="Y62" i="6"/>
  <c r="X62" i="6"/>
  <c r="Y61" i="6"/>
  <c r="X61" i="6"/>
  <c r="Y60" i="6"/>
  <c r="X60" i="6"/>
  <c r="Y59" i="6"/>
  <c r="X59" i="6"/>
  <c r="Y58" i="6"/>
  <c r="X58" i="6"/>
  <c r="Y57" i="6"/>
  <c r="X57" i="6"/>
  <c r="Y56" i="6"/>
  <c r="Y55" i="6"/>
  <c r="X55" i="6"/>
  <c r="Y54" i="6"/>
  <c r="X54" i="6"/>
  <c r="Y53" i="6"/>
  <c r="X53" i="6"/>
  <c r="Y52" i="6"/>
  <c r="X52" i="6"/>
  <c r="Y51" i="6"/>
  <c r="X51" i="6"/>
  <c r="Y50" i="6"/>
  <c r="X50" i="6"/>
  <c r="Y49" i="6"/>
  <c r="X49" i="6"/>
  <c r="Y48" i="6"/>
  <c r="X48" i="6"/>
  <c r="Y47" i="6"/>
  <c r="X47" i="6"/>
  <c r="Y46" i="6"/>
  <c r="X46" i="6"/>
  <c r="Y45" i="6"/>
  <c r="X45" i="6"/>
  <c r="Y44" i="6"/>
  <c r="X44" i="6"/>
  <c r="Y43" i="6"/>
  <c r="X43" i="6"/>
  <c r="Y42" i="6"/>
  <c r="X42" i="6"/>
  <c r="Y41" i="6"/>
  <c r="X41" i="6"/>
  <c r="Z41" i="6" s="1"/>
  <c r="Y40" i="6"/>
  <c r="X40" i="6"/>
  <c r="Y39" i="6"/>
  <c r="X39" i="6"/>
  <c r="Z39" i="6" s="1"/>
  <c r="Y38" i="6"/>
  <c r="X38" i="6"/>
  <c r="Z38" i="6" s="1"/>
  <c r="Y37" i="6"/>
  <c r="X37" i="6"/>
  <c r="Y36" i="6"/>
  <c r="X36" i="6"/>
  <c r="Y35" i="6"/>
  <c r="X35" i="6"/>
  <c r="Y34" i="6"/>
  <c r="X34" i="6"/>
  <c r="Y33" i="6"/>
  <c r="X33" i="6"/>
  <c r="Z33" i="6" s="1"/>
  <c r="Y32" i="6"/>
  <c r="X32" i="6"/>
  <c r="Z32" i="6" s="1"/>
  <c r="Y31" i="6"/>
  <c r="X31" i="6"/>
  <c r="Z31" i="6" s="1"/>
  <c r="Y30" i="6"/>
  <c r="X30" i="6"/>
  <c r="Y29" i="6"/>
  <c r="X29" i="6"/>
  <c r="Y28" i="6"/>
  <c r="X28" i="6"/>
  <c r="Y27" i="6"/>
  <c r="X27" i="6"/>
  <c r="Y26" i="6"/>
  <c r="X26" i="6"/>
  <c r="Y25" i="6"/>
  <c r="Y24" i="6"/>
  <c r="X24" i="6"/>
  <c r="Y23" i="6"/>
  <c r="Y22" i="6"/>
  <c r="X22" i="6"/>
  <c r="Y21" i="6"/>
  <c r="X21" i="6"/>
  <c r="Z21" i="6" s="1"/>
  <c r="Y20" i="6"/>
  <c r="X20" i="6"/>
  <c r="Y19" i="6"/>
  <c r="X19" i="6"/>
  <c r="Y18" i="6"/>
  <c r="X18" i="6"/>
  <c r="Z18" i="6" s="1"/>
  <c r="Y17" i="6"/>
  <c r="X17" i="6"/>
  <c r="Z17" i="6" s="1"/>
  <c r="Y16" i="6"/>
  <c r="X16" i="6"/>
  <c r="Y15" i="6"/>
  <c r="X15" i="6"/>
  <c r="Y14" i="6"/>
  <c r="X14" i="6"/>
  <c r="Z14" i="6" s="1"/>
  <c r="Y13" i="6"/>
  <c r="X13" i="6"/>
  <c r="Z13" i="6" s="1"/>
  <c r="Y12" i="6"/>
  <c r="X12" i="6"/>
  <c r="Y11" i="6"/>
  <c r="X11" i="6"/>
  <c r="Y10" i="6"/>
  <c r="X10" i="6"/>
  <c r="Z10" i="6" s="1"/>
  <c r="Y9" i="6"/>
  <c r="X9" i="6"/>
  <c r="Z9" i="6" s="1"/>
  <c r="Y8" i="6"/>
  <c r="X8" i="6"/>
  <c r="Y7" i="6"/>
  <c r="X7" i="6"/>
  <c r="Y6" i="6"/>
  <c r="X6" i="6"/>
  <c r="Z6" i="6" s="1"/>
  <c r="Y5" i="6"/>
  <c r="X5" i="6"/>
  <c r="Y4" i="6"/>
  <c r="X4" i="6"/>
  <c r="Y3" i="6"/>
  <c r="X3" i="6"/>
  <c r="Y2" i="6"/>
  <c r="Z24" i="6" l="1"/>
  <c r="Z63" i="6"/>
  <c r="Z71" i="6"/>
  <c r="Z25" i="6"/>
  <c r="Z53" i="6"/>
  <c r="Z81" i="6"/>
  <c r="Z78" i="6"/>
  <c r="Z56" i="6"/>
  <c r="Z57" i="6"/>
  <c r="Z65" i="6"/>
  <c r="Z83" i="6"/>
  <c r="Z26" i="6"/>
  <c r="Z42" i="6"/>
  <c r="Z46" i="6"/>
  <c r="Z50" i="6"/>
  <c r="Z58" i="6"/>
  <c r="Z70" i="6"/>
  <c r="Z74" i="6"/>
  <c r="Z129" i="6"/>
  <c r="Z133" i="6"/>
  <c r="Z137" i="6"/>
  <c r="Z141" i="6"/>
  <c r="Z145" i="6"/>
  <c r="Z149" i="6"/>
  <c r="Z166" i="6"/>
  <c r="Z175" i="6"/>
  <c r="Z179" i="6"/>
  <c r="Z183" i="6"/>
  <c r="Z187" i="6"/>
  <c r="Z142" i="6"/>
  <c r="Z105" i="6"/>
  <c r="Z109" i="6"/>
  <c r="Z126" i="6"/>
  <c r="Z131" i="6"/>
  <c r="Z143" i="6"/>
  <c r="Z147" i="6"/>
  <c r="Z155" i="6"/>
  <c r="Z168" i="6"/>
  <c r="Z172" i="6"/>
  <c r="Z177" i="6"/>
  <c r="Z193" i="6"/>
  <c r="Z73" i="6"/>
  <c r="Z77" i="6"/>
  <c r="Z114" i="6"/>
  <c r="Z140" i="6"/>
  <c r="Z148" i="6"/>
  <c r="Z157" i="6"/>
  <c r="Z186" i="6"/>
  <c r="AC18" i="6"/>
  <c r="AD18" i="6" s="1"/>
  <c r="AC3" i="6"/>
  <c r="AD3" i="6" s="1"/>
  <c r="AC122" i="6"/>
  <c r="AD122" i="6" s="1"/>
  <c r="AC191" i="6"/>
  <c r="AD191" i="6" s="1"/>
  <c r="AC183" i="6"/>
  <c r="AD183" i="6" s="1"/>
  <c r="AC175" i="6"/>
  <c r="AD175" i="6" s="1"/>
  <c r="AC167" i="6"/>
  <c r="AD167" i="6" s="1"/>
  <c r="AC159" i="6"/>
  <c r="AD159" i="6" s="1"/>
  <c r="AC151" i="6"/>
  <c r="AD151" i="6" s="1"/>
  <c r="AC143" i="6"/>
  <c r="AD143" i="6" s="1"/>
  <c r="AC135" i="6"/>
  <c r="AD135" i="6" s="1"/>
  <c r="AC127" i="6"/>
  <c r="AD127" i="6" s="1"/>
  <c r="AC119" i="6"/>
  <c r="AD119" i="6" s="1"/>
  <c r="AC111" i="6"/>
  <c r="AD111" i="6" s="1"/>
  <c r="AC103" i="6"/>
  <c r="AD103" i="6" s="1"/>
  <c r="AC95" i="6"/>
  <c r="AD95" i="6" s="1"/>
  <c r="AC87" i="6"/>
  <c r="AD87" i="6" s="1"/>
  <c r="AC79" i="6"/>
  <c r="AD79" i="6" s="1"/>
  <c r="AC71" i="6"/>
  <c r="AD71" i="6" s="1"/>
  <c r="AC63" i="6"/>
  <c r="AD63" i="6" s="1"/>
  <c r="AC55" i="6"/>
  <c r="AD55" i="6" s="1"/>
  <c r="AC47" i="6"/>
  <c r="AD47" i="6" s="1"/>
  <c r="AC39" i="6"/>
  <c r="AD39" i="6" s="1"/>
  <c r="AC31" i="6"/>
  <c r="AD31" i="6" s="1"/>
  <c r="AC23" i="6"/>
  <c r="AD23" i="6" s="1"/>
  <c r="AC15" i="6"/>
  <c r="AD15" i="6" s="1"/>
  <c r="AC7" i="6"/>
  <c r="AD7" i="6" s="1"/>
  <c r="AC144" i="6"/>
  <c r="AD144" i="6" s="1"/>
  <c r="AC112" i="6"/>
  <c r="AD112" i="6" s="1"/>
  <c r="AC80" i="6"/>
  <c r="AD80" i="6" s="1"/>
  <c r="AC48" i="6"/>
  <c r="AD48" i="6" s="1"/>
  <c r="AC16" i="6"/>
  <c r="AD16" i="6" s="1"/>
  <c r="AC190" i="6"/>
  <c r="AD190" i="6" s="1"/>
  <c r="AC182" i="6"/>
  <c r="AD182" i="6" s="1"/>
  <c r="AC174" i="6"/>
  <c r="AD174" i="6" s="1"/>
  <c r="AC166" i="6"/>
  <c r="AD166" i="6" s="1"/>
  <c r="AC158" i="6"/>
  <c r="AD158" i="6" s="1"/>
  <c r="AC150" i="6"/>
  <c r="AD150" i="6" s="1"/>
  <c r="AC142" i="6"/>
  <c r="AD142" i="6" s="1"/>
  <c r="AC134" i="6"/>
  <c r="AD134" i="6" s="1"/>
  <c r="AC126" i="6"/>
  <c r="AD126" i="6" s="1"/>
  <c r="AC118" i="6"/>
  <c r="AD118" i="6" s="1"/>
  <c r="AC110" i="6"/>
  <c r="AD110" i="6" s="1"/>
  <c r="AC102" i="6"/>
  <c r="AD102" i="6" s="1"/>
  <c r="AC94" i="6"/>
  <c r="AD94" i="6" s="1"/>
  <c r="AC86" i="6"/>
  <c r="AD86" i="6" s="1"/>
  <c r="AC78" i="6"/>
  <c r="AD78" i="6" s="1"/>
  <c r="AC70" i="6"/>
  <c r="AD70" i="6" s="1"/>
  <c r="AC62" i="6"/>
  <c r="AD62" i="6" s="1"/>
  <c r="AC54" i="6"/>
  <c r="AD54" i="6" s="1"/>
  <c r="AC46" i="6"/>
  <c r="AD46" i="6" s="1"/>
  <c r="AC38" i="6"/>
  <c r="AD38" i="6" s="1"/>
  <c r="AC30" i="6"/>
  <c r="AD30" i="6" s="1"/>
  <c r="AC22" i="6"/>
  <c r="AD22" i="6" s="1"/>
  <c r="AC14" i="6"/>
  <c r="AD14" i="6" s="1"/>
  <c r="AC6" i="6"/>
  <c r="AD6" i="6" s="1"/>
  <c r="AC138" i="6"/>
  <c r="AD138" i="6" s="1"/>
  <c r="AC106" i="6"/>
  <c r="AD106" i="6" s="1"/>
  <c r="AC74" i="6"/>
  <c r="AD74" i="6" s="1"/>
  <c r="AC42" i="6"/>
  <c r="AD42" i="6" s="1"/>
  <c r="AC10" i="6"/>
  <c r="AD10" i="6" s="1"/>
  <c r="AC2" i="6"/>
  <c r="AD2" i="6" s="1"/>
  <c r="AC189" i="6"/>
  <c r="AD189" i="6" s="1"/>
  <c r="AC181" i="6"/>
  <c r="AD181" i="6" s="1"/>
  <c r="AC173" i="6"/>
  <c r="AC165" i="6"/>
  <c r="AD165" i="6" s="1"/>
  <c r="AC157" i="6"/>
  <c r="AD157" i="6" s="1"/>
  <c r="AC149" i="6"/>
  <c r="AD149" i="6" s="1"/>
  <c r="AC141" i="6"/>
  <c r="AD141" i="6" s="1"/>
  <c r="AC133" i="6"/>
  <c r="AD133" i="6" s="1"/>
  <c r="AC125" i="6"/>
  <c r="AD125" i="6" s="1"/>
  <c r="AC117" i="6"/>
  <c r="AD117" i="6" s="1"/>
  <c r="AC109" i="6"/>
  <c r="AD109" i="6" s="1"/>
  <c r="AC101" i="6"/>
  <c r="AD101" i="6" s="1"/>
  <c r="AC93" i="6"/>
  <c r="AD93" i="6" s="1"/>
  <c r="AC85" i="6"/>
  <c r="AD85" i="6" s="1"/>
  <c r="AC77" i="6"/>
  <c r="AD77" i="6" s="1"/>
  <c r="AC69" i="6"/>
  <c r="AD69" i="6" s="1"/>
  <c r="AC61" i="6"/>
  <c r="AD61" i="6" s="1"/>
  <c r="AC53" i="6"/>
  <c r="AD53" i="6" s="1"/>
  <c r="AC45" i="6"/>
  <c r="AD45" i="6" s="1"/>
  <c r="AC37" i="6"/>
  <c r="AD37" i="6" s="1"/>
  <c r="AC29" i="6"/>
  <c r="AD29" i="6" s="1"/>
  <c r="AC21" i="6"/>
  <c r="AD21" i="6" s="1"/>
  <c r="AC13" i="6"/>
  <c r="AD13" i="6" s="1"/>
  <c r="AC186" i="6"/>
  <c r="AD186" i="6" s="1"/>
  <c r="AC136" i="6"/>
  <c r="AD136" i="6" s="1"/>
  <c r="AC104" i="6"/>
  <c r="AD104" i="6" s="1"/>
  <c r="AC72" i="6"/>
  <c r="AD72" i="6" s="1"/>
  <c r="AC40" i="6"/>
  <c r="AD40" i="6" s="1"/>
  <c r="AC8" i="6"/>
  <c r="AD8" i="6" s="1"/>
  <c r="AC5" i="6"/>
  <c r="AD5" i="6" s="1"/>
  <c r="AC188" i="6"/>
  <c r="AD188" i="6" s="1"/>
  <c r="AC180" i="6"/>
  <c r="AD180" i="6" s="1"/>
  <c r="AC172" i="6"/>
  <c r="AD172" i="6" s="1"/>
  <c r="AC164" i="6"/>
  <c r="AD164" i="6" s="1"/>
  <c r="AC156" i="6"/>
  <c r="AC148" i="6"/>
  <c r="AD148" i="6" s="1"/>
  <c r="AC140" i="6"/>
  <c r="AD140" i="6" s="1"/>
  <c r="AC132" i="6"/>
  <c r="AD132" i="6" s="1"/>
  <c r="AC124" i="6"/>
  <c r="AD124" i="6" s="1"/>
  <c r="AC116" i="6"/>
  <c r="AD116" i="6" s="1"/>
  <c r="AC108" i="6"/>
  <c r="AD108" i="6" s="1"/>
  <c r="AC100" i="6"/>
  <c r="AD100" i="6" s="1"/>
  <c r="AC92" i="6"/>
  <c r="AD92" i="6" s="1"/>
  <c r="AC84" i="6"/>
  <c r="AD84" i="6" s="1"/>
  <c r="AC76" i="6"/>
  <c r="AD76" i="6" s="1"/>
  <c r="AC68" i="6"/>
  <c r="AD68" i="6" s="1"/>
  <c r="AC60" i="6"/>
  <c r="AD60" i="6" s="1"/>
  <c r="AC52" i="6"/>
  <c r="AD52" i="6" s="1"/>
  <c r="AC44" i="6"/>
  <c r="AD44" i="6" s="1"/>
  <c r="AC36" i="6"/>
  <c r="AD36" i="6" s="1"/>
  <c r="AC28" i="6"/>
  <c r="AD28" i="6" s="1"/>
  <c r="AC20" i="6"/>
  <c r="AD20" i="6" s="1"/>
  <c r="AC12" i="6"/>
  <c r="AD12" i="6" s="1"/>
  <c r="AC178" i="6"/>
  <c r="AD178" i="6" s="1"/>
  <c r="AC130" i="6"/>
  <c r="AD130" i="6" s="1"/>
  <c r="AC98" i="6"/>
  <c r="AD98" i="6" s="1"/>
  <c r="AC66" i="6"/>
  <c r="AD66" i="6" s="1"/>
  <c r="AC34" i="6"/>
  <c r="AD34" i="6" s="1"/>
  <c r="AC4" i="6"/>
  <c r="AD4" i="6" s="1"/>
  <c r="AC187" i="6"/>
  <c r="AD187" i="6" s="1"/>
  <c r="AC179" i="6"/>
  <c r="AD179" i="6" s="1"/>
  <c r="AC171" i="6"/>
  <c r="AD171" i="6" s="1"/>
  <c r="AC163" i="6"/>
  <c r="AD163" i="6" s="1"/>
  <c r="AC155" i="6"/>
  <c r="AD155" i="6" s="1"/>
  <c r="AC147" i="6"/>
  <c r="AD147" i="6" s="1"/>
  <c r="AC139" i="6"/>
  <c r="AD139" i="6" s="1"/>
  <c r="AC131" i="6"/>
  <c r="AD131" i="6" s="1"/>
  <c r="AC123" i="6"/>
  <c r="AD123" i="6" s="1"/>
  <c r="AC115" i="6"/>
  <c r="AD115" i="6" s="1"/>
  <c r="AC107" i="6"/>
  <c r="AD107" i="6" s="1"/>
  <c r="AC99" i="6"/>
  <c r="AD99" i="6" s="1"/>
  <c r="AC91" i="6"/>
  <c r="AD91" i="6" s="1"/>
  <c r="AC83" i="6"/>
  <c r="AD83" i="6" s="1"/>
  <c r="AC75" i="6"/>
  <c r="AD75" i="6" s="1"/>
  <c r="AC67" i="6"/>
  <c r="AD67" i="6" s="1"/>
  <c r="AC59" i="6"/>
  <c r="AD59" i="6" s="1"/>
  <c r="AC51" i="6"/>
  <c r="AD51" i="6" s="1"/>
  <c r="AC43" i="6"/>
  <c r="AD43" i="6" s="1"/>
  <c r="AC35" i="6"/>
  <c r="AD35" i="6" s="1"/>
  <c r="AC27" i="6"/>
  <c r="AD27" i="6" s="1"/>
  <c r="AC19" i="6"/>
  <c r="AD19" i="6" s="1"/>
  <c r="AC11" i="6"/>
  <c r="AD11" i="6" s="1"/>
  <c r="AC162" i="6"/>
  <c r="AD162" i="6" s="1"/>
  <c r="AC128" i="6"/>
  <c r="AC96" i="6"/>
  <c r="AD96" i="6" s="1"/>
  <c r="AC64" i="6"/>
  <c r="AD64" i="6" s="1"/>
  <c r="AC32" i="6"/>
  <c r="AD32" i="6" s="1"/>
  <c r="AC170" i="6"/>
  <c r="AD170" i="6" s="1"/>
  <c r="AC90" i="6"/>
  <c r="AD90" i="6" s="1"/>
  <c r="AC58" i="6"/>
  <c r="AD58" i="6" s="1"/>
  <c r="AC26" i="6"/>
  <c r="AD26" i="6" s="1"/>
  <c r="AC193" i="6"/>
  <c r="AD193" i="6" s="1"/>
  <c r="AC185" i="6"/>
  <c r="AD185" i="6" s="1"/>
  <c r="AC177" i="6"/>
  <c r="AD177" i="6" s="1"/>
  <c r="AC169" i="6"/>
  <c r="AD169" i="6" s="1"/>
  <c r="AC161" i="6"/>
  <c r="AD161" i="6" s="1"/>
  <c r="AC153" i="6"/>
  <c r="AD153" i="6" s="1"/>
  <c r="AC145" i="6"/>
  <c r="AD145" i="6" s="1"/>
  <c r="AC137" i="6"/>
  <c r="AD137" i="6" s="1"/>
  <c r="AC129" i="6"/>
  <c r="AD129" i="6" s="1"/>
  <c r="AC121" i="6"/>
  <c r="AD121" i="6" s="1"/>
  <c r="AC113" i="6"/>
  <c r="AD113" i="6" s="1"/>
  <c r="AC105" i="6"/>
  <c r="AD105" i="6" s="1"/>
  <c r="AC97" i="6"/>
  <c r="AD97" i="6" s="1"/>
  <c r="AC89" i="6"/>
  <c r="AD89" i="6" s="1"/>
  <c r="AC81" i="6"/>
  <c r="AD81" i="6" s="1"/>
  <c r="AC73" i="6"/>
  <c r="AD73" i="6" s="1"/>
  <c r="AC65" i="6"/>
  <c r="AD65" i="6" s="1"/>
  <c r="AC57" i="6"/>
  <c r="AD57" i="6" s="1"/>
  <c r="AC49" i="6"/>
  <c r="AD49" i="6" s="1"/>
  <c r="AC41" i="6"/>
  <c r="AD41" i="6" s="1"/>
  <c r="AC33" i="6"/>
  <c r="AD33" i="6" s="1"/>
  <c r="AC25" i="6"/>
  <c r="AD25" i="6" s="1"/>
  <c r="AC17" i="6"/>
  <c r="AD17" i="6" s="1"/>
  <c r="AC9" i="6"/>
  <c r="AD9" i="6" s="1"/>
  <c r="AC152" i="6"/>
  <c r="AD152" i="6" s="1"/>
  <c r="AC120" i="6"/>
  <c r="AD120" i="6" s="1"/>
  <c r="AC88" i="6"/>
  <c r="AD88" i="6" s="1"/>
  <c r="AC56" i="6"/>
  <c r="AD56" i="6" s="1"/>
  <c r="AC24" i="6"/>
  <c r="AD24" i="6" s="1"/>
  <c r="AC154" i="6"/>
  <c r="AD154" i="6" s="1"/>
  <c r="AC192" i="6"/>
  <c r="AD192" i="6" s="1"/>
  <c r="AC184" i="6"/>
  <c r="AD184" i="6" s="1"/>
  <c r="AC176" i="6"/>
  <c r="AD176" i="6" s="1"/>
  <c r="AC168" i="6"/>
  <c r="AD168" i="6" s="1"/>
  <c r="AC160" i="6"/>
  <c r="AD160" i="6" s="1"/>
  <c r="AC146" i="6"/>
  <c r="AD146" i="6" s="1"/>
  <c r="AC114" i="6"/>
  <c r="AD114" i="6" s="1"/>
  <c r="AC82" i="6"/>
  <c r="AD82" i="6" s="1"/>
  <c r="AC50" i="6"/>
  <c r="AD50" i="6" s="1"/>
  <c r="Z4" i="6"/>
  <c r="Z107" i="6"/>
  <c r="Z12" i="6"/>
  <c r="Z100" i="6"/>
  <c r="Z11" i="6"/>
  <c r="Z34" i="6"/>
  <c r="Z76" i="6"/>
  <c r="Z19" i="6"/>
  <c r="Z115" i="6"/>
  <c r="Z123" i="6"/>
  <c r="Z43" i="6"/>
  <c r="Z66" i="6"/>
  <c r="Z108" i="6"/>
  <c r="Z36" i="6"/>
  <c r="Z51" i="6"/>
  <c r="Y156" i="6"/>
  <c r="Y173" i="6"/>
  <c r="Z169" i="6"/>
  <c r="Z174" i="6"/>
  <c r="Y128" i="6"/>
  <c r="Z44" i="6"/>
  <c r="Z7" i="6"/>
  <c r="Z45" i="6"/>
  <c r="Z49" i="6"/>
  <c r="Z64" i="6"/>
  <c r="Z75" i="6"/>
  <c r="Z98" i="6"/>
  <c r="Z106" i="6"/>
  <c r="Z110" i="6"/>
  <c r="Z134" i="6"/>
  <c r="Z191" i="6"/>
  <c r="Z59" i="6"/>
  <c r="Z84" i="6"/>
  <c r="Z91" i="6"/>
  <c r="Z116" i="6"/>
  <c r="Z162" i="6"/>
  <c r="Z124" i="6"/>
  <c r="Z136" i="6"/>
  <c r="Z170" i="6"/>
  <c r="Z182" i="6"/>
  <c r="Z189" i="6"/>
  <c r="Z3" i="6"/>
  <c r="Z28" i="6"/>
  <c r="Z35" i="6"/>
  <c r="Z60" i="6"/>
  <c r="Z67" i="6"/>
  <c r="Z92" i="6"/>
  <c r="Z99" i="6"/>
  <c r="Z125" i="6"/>
  <c r="Z130" i="6"/>
  <c r="Z27" i="6"/>
  <c r="Z8" i="6"/>
  <c r="Z15" i="6"/>
  <c r="Z22" i="6"/>
  <c r="Z29" i="6"/>
  <c r="Z40" i="6"/>
  <c r="Z47" i="6"/>
  <c r="Z54" i="6"/>
  <c r="Z61" i="6"/>
  <c r="Z72" i="6"/>
  <c r="Z79" i="6"/>
  <c r="Z86" i="6"/>
  <c r="Z93" i="6"/>
  <c r="Z104" i="6"/>
  <c r="Z111" i="6"/>
  <c r="Z118" i="6"/>
  <c r="Z144" i="6"/>
  <c r="Z151" i="6"/>
  <c r="Z160" i="6"/>
  <c r="Z164" i="6"/>
  <c r="Z190" i="6"/>
  <c r="Y194" i="6"/>
  <c r="Z20" i="6"/>
  <c r="Z184" i="6"/>
  <c r="Z2" i="6"/>
  <c r="Z52" i="6"/>
  <c r="Z5" i="6"/>
  <c r="Z16" i="6"/>
  <c r="Z23" i="6"/>
  <c r="Z30" i="6"/>
  <c r="Z37" i="6"/>
  <c r="Z48" i="6"/>
  <c r="Z55" i="6"/>
  <c r="Z62" i="6"/>
  <c r="Z69" i="6"/>
  <c r="Z80" i="6"/>
  <c r="Z87" i="6"/>
  <c r="Z94" i="6"/>
  <c r="Z101" i="6"/>
  <c r="Z112" i="6"/>
  <c r="Z119" i="6"/>
  <c r="Z152" i="6"/>
  <c r="Z161" i="6"/>
  <c r="Z165" i="6"/>
  <c r="Z127" i="6"/>
  <c r="Z132" i="6"/>
  <c r="Z135" i="6"/>
  <c r="Z139" i="6"/>
  <c r="Z146" i="6"/>
  <c r="Z153" i="6"/>
  <c r="Z158" i="6"/>
  <c r="Z178" i="6"/>
  <c r="Z181" i="6"/>
  <c r="Z185" i="6"/>
  <c r="Z192" i="6"/>
  <c r="B18" i="4"/>
  <c r="Z194" i="6" l="1"/>
  <c r="Z156" i="6"/>
  <c r="Z173" i="6"/>
  <c r="Z128" i="6"/>
  <c r="V196" i="6"/>
  <c r="X194" i="6"/>
  <c r="X173" i="6"/>
  <c r="X156" i="6"/>
  <c r="X128" i="6"/>
  <c r="W193" i="6"/>
  <c r="W192" i="6"/>
  <c r="W191" i="6"/>
  <c r="W190" i="6"/>
  <c r="W189" i="6"/>
  <c r="W188" i="6"/>
  <c r="W187" i="6"/>
  <c r="W186" i="6"/>
  <c r="W185" i="6"/>
  <c r="W184" i="6"/>
  <c r="W183" i="6"/>
  <c r="W182" i="6"/>
  <c r="W181" i="6"/>
  <c r="W180" i="6"/>
  <c r="W179" i="6"/>
  <c r="W178" i="6"/>
  <c r="W177" i="6"/>
  <c r="W176" i="6"/>
  <c r="W175" i="6"/>
  <c r="W174" i="6"/>
  <c r="W172" i="6"/>
  <c r="W171" i="6"/>
  <c r="W170" i="6"/>
  <c r="W169" i="6"/>
  <c r="W168" i="6"/>
  <c r="W167" i="6"/>
  <c r="W166" i="6"/>
  <c r="W165" i="6"/>
  <c r="W164" i="6"/>
  <c r="W163" i="6"/>
  <c r="W162" i="6"/>
  <c r="W161" i="6"/>
  <c r="W160" i="6"/>
  <c r="W159" i="6"/>
  <c r="W158" i="6"/>
  <c r="W157"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7" i="6"/>
  <c r="W126" i="6"/>
  <c r="W125" i="6"/>
  <c r="W123" i="6"/>
  <c r="W122" i="6"/>
  <c r="W121" i="6"/>
  <c r="W120" i="6"/>
  <c r="W119" i="6"/>
  <c r="W118" i="6"/>
  <c r="W117" i="6"/>
  <c r="W116" i="6"/>
  <c r="W115" i="6"/>
  <c r="W114" i="6"/>
  <c r="W113" i="6"/>
  <c r="W111" i="6"/>
  <c r="W110" i="6"/>
  <c r="W109" i="6"/>
  <c r="W108" i="6"/>
  <c r="W107" i="6"/>
  <c r="W106" i="6"/>
  <c r="W105" i="6"/>
  <c r="W103" i="6"/>
  <c r="W102" i="6"/>
  <c r="W101" i="6"/>
  <c r="W100" i="6"/>
  <c r="W99" i="6"/>
  <c r="W98" i="6"/>
  <c r="W97" i="6"/>
  <c r="W96" i="6"/>
  <c r="W95" i="6"/>
  <c r="W94" i="6"/>
  <c r="W93" i="6"/>
  <c r="W92" i="6"/>
  <c r="W91" i="6"/>
  <c r="W90" i="6"/>
  <c r="W89" i="6"/>
  <c r="W88" i="6"/>
  <c r="W87" i="6"/>
  <c r="W86" i="6"/>
  <c r="W85" i="6"/>
  <c r="W84" i="6"/>
  <c r="W83" i="6"/>
  <c r="W82" i="6"/>
  <c r="W80" i="6"/>
  <c r="W77" i="6"/>
  <c r="W76" i="6"/>
  <c r="W75" i="6"/>
  <c r="W74" i="6"/>
  <c r="W73" i="6"/>
  <c r="W72" i="6"/>
  <c r="W71" i="6"/>
  <c r="W70" i="6"/>
  <c r="W69" i="6"/>
  <c r="W68" i="6"/>
  <c r="W67" i="6"/>
  <c r="W66" i="6"/>
  <c r="W65" i="6"/>
  <c r="W64" i="6"/>
  <c r="W63" i="6"/>
  <c r="W62" i="6"/>
  <c r="W61" i="6"/>
  <c r="W60" i="6"/>
  <c r="W59" i="6"/>
  <c r="W58" i="6"/>
  <c r="W57"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W26" i="6"/>
  <c r="W24" i="6"/>
  <c r="W22" i="6"/>
  <c r="W21" i="6"/>
  <c r="W20" i="6"/>
  <c r="W19" i="6"/>
  <c r="W18" i="6"/>
  <c r="W17" i="6"/>
  <c r="W16" i="6"/>
  <c r="W15" i="6"/>
  <c r="W14" i="6"/>
  <c r="W13" i="6"/>
  <c r="W12" i="6"/>
  <c r="W11" i="6"/>
  <c r="W10" i="6"/>
  <c r="W9" i="6"/>
  <c r="W8" i="6"/>
  <c r="W7" i="6"/>
  <c r="W6" i="6"/>
  <c r="W5" i="6"/>
  <c r="W4" i="6"/>
  <c r="W3" i="6"/>
  <c r="W2" i="6"/>
  <c r="B20" i="4"/>
  <c r="BA11" i="2"/>
  <c r="BA12" i="2"/>
  <c r="BA13" i="2"/>
  <c r="BA14" i="2"/>
  <c r="BA15" i="2"/>
  <c r="BA16" i="2"/>
  <c r="BA17" i="2"/>
  <c r="BA18" i="2"/>
  <c r="BA19" i="2"/>
  <c r="BA20" i="2"/>
  <c r="BA21" i="2"/>
  <c r="BA22" i="2"/>
  <c r="BA23" i="2"/>
  <c r="BA24" i="2"/>
  <c r="BA25" i="2"/>
  <c r="BA26" i="2"/>
  <c r="BA27"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BA69" i="2"/>
  <c r="BA70" i="2"/>
  <c r="BA71" i="2"/>
  <c r="BA72" i="2"/>
  <c r="BA73" i="2"/>
  <c r="BA74" i="2"/>
  <c r="BA75" i="2"/>
  <c r="BA76" i="2"/>
  <c r="BA77" i="2"/>
  <c r="BA78" i="2"/>
  <c r="BA79" i="2"/>
  <c r="BA80" i="2"/>
  <c r="BA81" i="2"/>
  <c r="BA82" i="2"/>
  <c r="BA83" i="2"/>
  <c r="BA84" i="2"/>
  <c r="BA85" i="2"/>
  <c r="BA86" i="2"/>
  <c r="BA87" i="2"/>
  <c r="BA88" i="2"/>
  <c r="BA89" i="2"/>
  <c r="BA90" i="2"/>
  <c r="BA91" i="2"/>
  <c r="BA92" i="2"/>
  <c r="BA93" i="2"/>
  <c r="BA94" i="2"/>
  <c r="BA95" i="2"/>
  <c r="BA96" i="2"/>
  <c r="BA97" i="2"/>
  <c r="BA98" i="2"/>
  <c r="BA99" i="2"/>
  <c r="BA100" i="2"/>
  <c r="BA101" i="2"/>
  <c r="BA102" i="2"/>
  <c r="BA103" i="2"/>
  <c r="BA104" i="2"/>
  <c r="BA105" i="2"/>
  <c r="BA106" i="2"/>
  <c r="BA107" i="2"/>
  <c r="BA108" i="2"/>
  <c r="BA109" i="2"/>
  <c r="BA110" i="2"/>
  <c r="BA111" i="2"/>
  <c r="BA112" i="2"/>
  <c r="BA113" i="2"/>
  <c r="BA114" i="2"/>
  <c r="BA115" i="2"/>
  <c r="BA116" i="2"/>
  <c r="BA117" i="2"/>
  <c r="BA118" i="2"/>
  <c r="BA119" i="2"/>
  <c r="BA120" i="2"/>
  <c r="BA121" i="2"/>
  <c r="BA122" i="2"/>
  <c r="BA123" i="2"/>
  <c r="BA124" i="2"/>
  <c r="BA125" i="2"/>
  <c r="BA126" i="2"/>
  <c r="BA127" i="2"/>
  <c r="BA128" i="2"/>
  <c r="BA129" i="2"/>
  <c r="BA130" i="2"/>
  <c r="BA131" i="2"/>
  <c r="BA132" i="2"/>
  <c r="BA133" i="2"/>
  <c r="BA134" i="2"/>
  <c r="BA135" i="2"/>
  <c r="BA136" i="2"/>
  <c r="BA137" i="2"/>
  <c r="BA138" i="2"/>
  <c r="BA139" i="2"/>
  <c r="BA140" i="2"/>
  <c r="BA141" i="2"/>
  <c r="BA142" i="2"/>
  <c r="BA143" i="2"/>
  <c r="BA144" i="2"/>
  <c r="BA145" i="2"/>
  <c r="BA146" i="2"/>
  <c r="BA147" i="2"/>
  <c r="BA148" i="2"/>
  <c r="BA149" i="2"/>
  <c r="BA150" i="2"/>
  <c r="BA151" i="2"/>
  <c r="BA152" i="2"/>
  <c r="BA153" i="2"/>
  <c r="BA154" i="2"/>
  <c r="BA155" i="2"/>
  <c r="BA156" i="2"/>
  <c r="BA157" i="2"/>
  <c r="BA158" i="2"/>
  <c r="BA159" i="2"/>
  <c r="BA160" i="2"/>
  <c r="BA161" i="2"/>
  <c r="BA162" i="2"/>
  <c r="BA163" i="2"/>
  <c r="BA164" i="2"/>
  <c r="BA165" i="2"/>
  <c r="BA166" i="2"/>
  <c r="BA167" i="2"/>
  <c r="BA168" i="2"/>
  <c r="BA169" i="2"/>
  <c r="BA170" i="2"/>
  <c r="BA171" i="2"/>
  <c r="BA172" i="2"/>
  <c r="BA173" i="2"/>
  <c r="BA174" i="2"/>
  <c r="BA175" i="2"/>
  <c r="BA176" i="2"/>
  <c r="BA177" i="2"/>
  <c r="BA178" i="2"/>
  <c r="BA179" i="2"/>
  <c r="BA180" i="2"/>
  <c r="BA181" i="2"/>
  <c r="BA182" i="2"/>
  <c r="BA183" i="2"/>
  <c r="BA184" i="2"/>
  <c r="BA185" i="2"/>
  <c r="BA186" i="2"/>
  <c r="BA187" i="2"/>
  <c r="BA188" i="2"/>
  <c r="BA189" i="2"/>
  <c r="BA190" i="2"/>
  <c r="BA191" i="2"/>
  <c r="BA192" i="2"/>
  <c r="BA193" i="2"/>
  <c r="BA194" i="2"/>
  <c r="BA195" i="2"/>
  <c r="BA196" i="2"/>
  <c r="BA197" i="2"/>
  <c r="BA198" i="2"/>
  <c r="BA199" i="2"/>
  <c r="BA200" i="2"/>
  <c r="BA201" i="2"/>
  <c r="BA202" i="2"/>
  <c r="BA203" i="2"/>
  <c r="BA204" i="2"/>
  <c r="BA205" i="2"/>
  <c r="BA206" i="2"/>
  <c r="BA207" i="2"/>
  <c r="BA208" i="2"/>
  <c r="BA209" i="2"/>
  <c r="BA210" i="2"/>
  <c r="BA211" i="2"/>
  <c r="BA212" i="2"/>
  <c r="BA213" i="2"/>
  <c r="BA214" i="2"/>
  <c r="BA215" i="2"/>
  <c r="BA216" i="2"/>
  <c r="BA217" i="2"/>
  <c r="BA218" i="2"/>
  <c r="BA219" i="2"/>
  <c r="BA220" i="2"/>
  <c r="BA221" i="2"/>
  <c r="BA222" i="2"/>
  <c r="BA223" i="2"/>
  <c r="BA224" i="2"/>
  <c r="BA225" i="2"/>
  <c r="BA226" i="2"/>
  <c r="BA227" i="2"/>
  <c r="BA228" i="2"/>
  <c r="BA229" i="2"/>
  <c r="BA230" i="2"/>
  <c r="BA231" i="2"/>
  <c r="BA232" i="2"/>
  <c r="BA233" i="2"/>
  <c r="BA234" i="2"/>
  <c r="BA235" i="2"/>
  <c r="BA236" i="2"/>
  <c r="BA237" i="2"/>
  <c r="BA238" i="2"/>
  <c r="BA239" i="2"/>
  <c r="BA240" i="2"/>
  <c r="BA241" i="2"/>
  <c r="BA242" i="2"/>
  <c r="BA243" i="2"/>
  <c r="BA244" i="2"/>
  <c r="BA245" i="2"/>
  <c r="BA246" i="2"/>
  <c r="BA247" i="2"/>
  <c r="X196" i="6" l="1"/>
  <c r="W156" i="6"/>
  <c r="W173" i="6"/>
  <c r="W194" i="6"/>
  <c r="W128" i="6"/>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2" i="9"/>
  <c r="W196" i="6" l="1"/>
  <c r="O202" i="8"/>
  <c r="O199" i="8"/>
  <c r="O111" i="8"/>
  <c r="O183" i="8" s="1"/>
  <c r="M108" i="8"/>
  <c r="O46" i="8"/>
  <c r="M44" i="8"/>
  <c r="O172" i="8"/>
  <c r="O164" i="8"/>
  <c r="O154" i="8"/>
  <c r="O136" i="8"/>
  <c r="M131" i="8"/>
  <c r="M101" i="8"/>
  <c r="M92" i="8"/>
  <c r="O72" i="8"/>
  <c r="M70" i="8"/>
  <c r="M63" i="8"/>
  <c r="D177" i="8" l="1"/>
  <c r="M91" i="7"/>
  <c r="O96" i="7" s="1"/>
  <c r="M144" i="7" s="1"/>
  <c r="O125" i="7"/>
  <c r="M150" i="7" s="1"/>
  <c r="O119" i="7"/>
  <c r="M148" i="7" s="1"/>
  <c r="M111" i="7"/>
  <c r="M105" i="7"/>
  <c r="M76" i="7"/>
  <c r="M69" i="7"/>
  <c r="M60" i="7"/>
  <c r="M46" i="7"/>
  <c r="M39" i="7"/>
  <c r="M25" i="7"/>
  <c r="O28" i="7" s="1"/>
  <c r="M138" i="7" s="1"/>
  <c r="C7" i="7"/>
  <c r="D131" i="7" s="1"/>
  <c r="O113" i="7" l="1"/>
  <c r="M146" i="7" s="1"/>
  <c r="O79" i="7"/>
  <c r="M142" i="7" s="1"/>
  <c r="O48" i="7"/>
  <c r="M140" i="7" s="1"/>
  <c r="B7" i="5"/>
  <c r="D8" i="1"/>
  <c r="J57" i="1" s="1"/>
  <c r="J55" i="1" l="1"/>
  <c r="J56" i="1"/>
  <c r="J46" i="1"/>
  <c r="J41" i="1"/>
  <c r="J40" i="1"/>
  <c r="J54" i="1"/>
  <c r="J53" i="1"/>
  <c r="J47" i="1"/>
  <c r="J31" i="1"/>
  <c r="J23" i="1"/>
  <c r="J50" i="1"/>
  <c r="J58" i="1"/>
  <c r="J35" i="1"/>
  <c r="J52" i="1"/>
  <c r="J45" i="1"/>
  <c r="J30" i="1"/>
  <c r="J22" i="1"/>
  <c r="J43" i="1"/>
  <c r="J26" i="1"/>
  <c r="J49" i="1"/>
  <c r="J24" i="1"/>
  <c r="J39" i="1"/>
  <c r="J44" i="1"/>
  <c r="J29" i="1"/>
  <c r="J38" i="1"/>
  <c r="J28" i="1"/>
  <c r="J37" i="1"/>
  <c r="J36" i="1"/>
  <c r="J25" i="1"/>
  <c r="J48" i="1"/>
  <c r="J51" i="1"/>
  <c r="J42" i="1"/>
  <c r="J27" i="1"/>
  <c r="L65" i="1"/>
  <c r="D10" i="1"/>
  <c r="B77" i="1" s="1"/>
  <c r="C8" i="7"/>
  <c r="D132" i="7" s="1"/>
  <c r="D6" i="1"/>
  <c r="C6" i="7"/>
  <c r="D130" i="7" s="1"/>
  <c r="O152" i="7"/>
  <c r="L67" i="1"/>
  <c r="B6" i="5"/>
  <c r="B8" i="5"/>
  <c r="L18" i="1"/>
  <c r="L16" i="1"/>
  <c r="J14" i="5" l="1"/>
  <c r="J18" i="5"/>
  <c r="A31" i="5"/>
  <c r="K32" i="1"/>
  <c r="K59" i="1"/>
  <c r="J23" i="5" l="1"/>
  <c r="L63" i="1"/>
  <c r="L69" i="1" s="1"/>
  <c r="M69" i="1" s="1"/>
  <c r="M10" i="7" l="1"/>
  <c r="O136" i="7" s="1"/>
  <c r="O15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Kirpal Sandhu</author>
  </authors>
  <commentList>
    <comment ref="Q79" authorId="0" shapeId="0" xr:uid="{1B03A63E-BDE9-4295-A680-4ED1EBDEB49B}">
      <text>
        <r>
          <rPr>
            <b/>
            <sz val="9"/>
            <color indexed="81"/>
            <rFont val="Tahoma"/>
            <family val="2"/>
          </rPr>
          <t>Kirpal Sandhu:</t>
        </r>
        <r>
          <rPr>
            <sz val="9"/>
            <color indexed="81"/>
            <rFont val="Tahoma"/>
            <family val="2"/>
          </rPr>
          <t xml:space="preserve">
see email 13.01.21 from Claire Speakman</t>
        </r>
      </text>
    </comment>
    <comment ref="P196" authorId="0" shapeId="0" xr:uid="{57B04886-ABD5-4301-953B-19BD558D8B33}">
      <text>
        <r>
          <rPr>
            <b/>
            <sz val="9"/>
            <color indexed="81"/>
            <rFont val="Tahoma"/>
            <family val="2"/>
          </rPr>
          <t>Kirpal Sandhu:</t>
        </r>
        <r>
          <rPr>
            <sz val="9"/>
            <color indexed="81"/>
            <rFont val="Tahoma"/>
            <family val="2"/>
          </rPr>
          <t xml:space="preserve">
Agrees to 19/20 final balance</t>
        </r>
      </text>
    </comment>
    <comment ref="Q200" authorId="0" shapeId="0" xr:uid="{029EE9DC-28F8-4943-8744-3F2E42F0A9E8}">
      <text>
        <r>
          <rPr>
            <b/>
            <sz val="9"/>
            <color indexed="81"/>
            <rFont val="Tahoma"/>
            <family val="2"/>
          </rPr>
          <t>Kirpal Sandhu:</t>
        </r>
        <r>
          <rPr>
            <sz val="9"/>
            <color indexed="81"/>
            <rFont val="Tahoma"/>
            <family val="2"/>
          </rPr>
          <t xml:space="preserve">
see email (12/10/20) from Claire Speakman</t>
        </r>
      </text>
    </comment>
  </commentList>
</comments>
</file>

<file path=xl/sharedStrings.xml><?xml version="1.0" encoding="utf-8"?>
<sst xmlns="http://schemas.openxmlformats.org/spreadsheetml/2006/main" count="6510" uniqueCount="1817">
  <si>
    <t>School:</t>
  </si>
  <si>
    <t>DFE No:</t>
  </si>
  <si>
    <t>Fund Centre:</t>
  </si>
  <si>
    <t>£</t>
  </si>
  <si>
    <t>School Budget Share Resources Available</t>
  </si>
  <si>
    <t>(including EFA Post 16 Grant)</t>
  </si>
  <si>
    <t>Grants</t>
  </si>
  <si>
    <t>Pupil Premium</t>
  </si>
  <si>
    <t>PE and Sports</t>
  </si>
  <si>
    <t>Year 7 Catch Up</t>
  </si>
  <si>
    <t>Universal Infant Free School Meals</t>
  </si>
  <si>
    <t>16-19 Bursary Vulnerable Students</t>
  </si>
  <si>
    <t>Additional EFA Post 16</t>
  </si>
  <si>
    <t>Direct Salary (NCTL)</t>
  </si>
  <si>
    <t>Teachers Pension Grant</t>
  </si>
  <si>
    <t>Teacher Pay Grant</t>
  </si>
  <si>
    <t>Free School Meals (FSM) Supplementary Grant</t>
  </si>
  <si>
    <t>Early Years Pupil Premium - Special Schools Only</t>
  </si>
  <si>
    <t>In Year School Budget Share Additions</t>
  </si>
  <si>
    <t>CRISP Top Up Autumn Term</t>
  </si>
  <si>
    <t>CRISP Top Up Spring Term</t>
  </si>
  <si>
    <t>CRISP Top Up Summer Term</t>
  </si>
  <si>
    <t>Exceptional Special Needs - Mainstream</t>
  </si>
  <si>
    <t>Higher than average Special Needs - Mainstream</t>
  </si>
  <si>
    <t>Growth Funding</t>
  </si>
  <si>
    <t>Falling Pupils</t>
  </si>
  <si>
    <t>High Needs Top Up Funding</t>
  </si>
  <si>
    <t>Outreach Service</t>
  </si>
  <si>
    <t>Resource Base Top Up</t>
  </si>
  <si>
    <t>Less</t>
  </si>
  <si>
    <t>Actual Net Expenditure</t>
  </si>
  <si>
    <t>Plus</t>
  </si>
  <si>
    <t>Notes</t>
  </si>
  <si>
    <t>1 - Actual Spend is that recorded on the LA's Ledger System (Voyager) against your Schools Fund Centre</t>
  </si>
  <si>
    <t>New Oscott Primary School</t>
  </si>
  <si>
    <t>REAHQ</t>
  </si>
  <si>
    <t/>
  </si>
  <si>
    <t>Interest on balances up to 5%</t>
  </si>
  <si>
    <t>TOTAL</t>
  </si>
  <si>
    <t>CARRY</t>
  </si>
  <si>
    <t>INTEREST</t>
  </si>
  <si>
    <t>INTEREST CALCULATION</t>
  </si>
  <si>
    <t xml:space="preserve">New </t>
  </si>
  <si>
    <t>Amended</t>
  </si>
  <si>
    <t>ORIGINAL</t>
  </si>
  <si>
    <t xml:space="preserve">IN YEAR </t>
  </si>
  <si>
    <t>Budget + SBS</t>
  </si>
  <si>
    <t>SBS</t>
  </si>
  <si>
    <t>RESOURCES</t>
  </si>
  <si>
    <t>Adjustment</t>
  </si>
  <si>
    <t>(not on ledger)</t>
  </si>
  <si>
    <t>CB Schools</t>
  </si>
  <si>
    <t>FORWARD</t>
  </si>
  <si>
    <t>on SURPLUS</t>
  </si>
  <si>
    <t>Increase/</t>
  </si>
  <si>
    <t>Surplus for</t>
  </si>
  <si>
    <t>5% of</t>
  </si>
  <si>
    <t>Interest</t>
  </si>
  <si>
    <t>Voyager</t>
  </si>
  <si>
    <t>DFE</t>
  </si>
  <si>
    <t>DfE</t>
  </si>
  <si>
    <t>SCHOOL NAME</t>
  </si>
  <si>
    <t>Cheque</t>
  </si>
  <si>
    <t>Brought Forward</t>
  </si>
  <si>
    <t>S251 BUDGET</t>
  </si>
  <si>
    <t>BUDGET ADJUST.</t>
  </si>
  <si>
    <t>BUDGET</t>
  </si>
  <si>
    <t>HIGH Needs</t>
  </si>
  <si>
    <t>CONTINGENCY</t>
  </si>
  <si>
    <t>CB Adjustments</t>
  </si>
  <si>
    <t>OTHER</t>
  </si>
  <si>
    <t>REGISTER</t>
  </si>
  <si>
    <t>AVAILABLE</t>
  </si>
  <si>
    <t>Late/Other</t>
  </si>
  <si>
    <t>manual</t>
  </si>
  <si>
    <t>NET</t>
  </si>
  <si>
    <t>BALANCE</t>
  </si>
  <si>
    <t>(Decrease)</t>
  </si>
  <si>
    <t>Planned</t>
  </si>
  <si>
    <t>Calculation</t>
  </si>
  <si>
    <t>Rank</t>
  </si>
  <si>
    <t>%</t>
  </si>
  <si>
    <t>Code</t>
  </si>
  <si>
    <t>NC</t>
  </si>
  <si>
    <t>Type</t>
  </si>
  <si>
    <t>Book</t>
  </si>
  <si>
    <t>(Incl EFA Grant)</t>
  </si>
  <si>
    <t>ALLOCATIONS</t>
  </si>
  <si>
    <t>/Closed Academies</t>
  </si>
  <si>
    <t>ADDITIONS</t>
  </si>
  <si>
    <t>CHECK</t>
  </si>
  <si>
    <t>Reversal</t>
  </si>
  <si>
    <t>Adjustments</t>
  </si>
  <si>
    <t>EXPENDITURE</t>
  </si>
  <si>
    <t>(Excl Interest)</t>
  </si>
  <si>
    <t>(Incl. Interest)</t>
  </si>
  <si>
    <t>In Balances</t>
  </si>
  <si>
    <t>Balance B/F</t>
  </si>
  <si>
    <t>Budget</t>
  </si>
  <si>
    <t>Dfe Recoup file</t>
  </si>
  <si>
    <t>REAYW</t>
  </si>
  <si>
    <t>Adderley Nursery School</t>
  </si>
  <si>
    <t>Nrsy</t>
  </si>
  <si>
    <t>Deficit</t>
  </si>
  <si>
    <t>OK</t>
  </si>
  <si>
    <t>REAYX</t>
  </si>
  <si>
    <t>Allens Croft Nursery School</t>
  </si>
  <si>
    <t>CB</t>
  </si>
  <si>
    <t>Surplus</t>
  </si>
  <si>
    <t>error</t>
  </si>
  <si>
    <t>REAYY</t>
  </si>
  <si>
    <t>Bloomsbury Nursery School</t>
  </si>
  <si>
    <t>REAYZ</t>
  </si>
  <si>
    <t>Bordesley Green East Nursery School</t>
  </si>
  <si>
    <t>REAZA</t>
  </si>
  <si>
    <t>Brearley Nursery School</t>
  </si>
  <si>
    <t>REAZB</t>
  </si>
  <si>
    <t>Castle Vale Nursery School</t>
  </si>
  <si>
    <t>REAZC</t>
  </si>
  <si>
    <t>Featherstone Nursery School</t>
  </si>
  <si>
    <t>REAZD</t>
  </si>
  <si>
    <t>Garretts Green Nursery School</t>
  </si>
  <si>
    <t>REAZE</t>
  </si>
  <si>
    <t>Goodway Nursery School</t>
  </si>
  <si>
    <t>REAZF</t>
  </si>
  <si>
    <t>Gracelands Nursery School</t>
  </si>
  <si>
    <t>REAZG</t>
  </si>
  <si>
    <t>Highfield Nursery School</t>
  </si>
  <si>
    <t>REAZH</t>
  </si>
  <si>
    <t>Highters Heath Nursery School</t>
  </si>
  <si>
    <t>REAZJ</t>
  </si>
  <si>
    <t>Jakeman Nursery School</t>
  </si>
  <si>
    <t>REAZK</t>
  </si>
  <si>
    <t>Kings Norton Nursery School</t>
  </si>
  <si>
    <t>REAZL</t>
  </si>
  <si>
    <t>Lillian de Lissa Nursery School</t>
  </si>
  <si>
    <t>REAZM</t>
  </si>
  <si>
    <t>Marsh Hill Nursery School</t>
  </si>
  <si>
    <t>REAZN</t>
  </si>
  <si>
    <t>Newtown Nursery School</t>
  </si>
  <si>
    <t>REAZP</t>
  </si>
  <si>
    <t>Osborne Nursery School</t>
  </si>
  <si>
    <t>REAZQ</t>
  </si>
  <si>
    <t>Perry Beeches Nursery School</t>
  </si>
  <si>
    <t>REAZR</t>
  </si>
  <si>
    <t>St Thomas Centre Nursery School</t>
  </si>
  <si>
    <t>REAZT</t>
  </si>
  <si>
    <t>Rubery Nursery School</t>
  </si>
  <si>
    <t>REAZU</t>
  </si>
  <si>
    <t>Selly Oak Nursery School</t>
  </si>
  <si>
    <t>REAZV</t>
  </si>
  <si>
    <t>Shenley Fields Nursery School</t>
  </si>
  <si>
    <t>REAZW</t>
  </si>
  <si>
    <t>Washwood Heath Nursery School</t>
  </si>
  <si>
    <t>REAZX</t>
  </si>
  <si>
    <t>Weoley Castle Nursery School</t>
  </si>
  <si>
    <t>REAZY</t>
  </si>
  <si>
    <t>West Heath Nursery School</t>
  </si>
  <si>
    <t>REAYF</t>
  </si>
  <si>
    <t>Edith Cadbury Nursery School</t>
  </si>
  <si>
    <t>REAAA</t>
  </si>
  <si>
    <t>Abbey Catholic Primary School</t>
  </si>
  <si>
    <t>P</t>
  </si>
  <si>
    <t>REAAD</t>
  </si>
  <si>
    <t>Adderley Primary School</t>
  </si>
  <si>
    <t>REAAE</t>
  </si>
  <si>
    <t>Al-Furqan Primary School</t>
  </si>
  <si>
    <t>REAAH</t>
  </si>
  <si>
    <t>Allens Croft Primary School</t>
  </si>
  <si>
    <t>REAAK</t>
  </si>
  <si>
    <t>Anderton Park Primary School</t>
  </si>
  <si>
    <t>REAAM</t>
  </si>
  <si>
    <t>Anglesey Primary School</t>
  </si>
  <si>
    <t>REAAN</t>
  </si>
  <si>
    <t>Arden Primary School</t>
  </si>
  <si>
    <t>REAAW</t>
  </si>
  <si>
    <t>Barford Primary School</t>
  </si>
  <si>
    <t>REAAY</t>
  </si>
  <si>
    <t>Bellfield Infant School (NC)</t>
  </si>
  <si>
    <t>REAAZ</t>
  </si>
  <si>
    <t>Bellfield Junior School</t>
  </si>
  <si>
    <t>REABA</t>
  </si>
  <si>
    <t>Bells Farm Primary School</t>
  </si>
  <si>
    <t>REABB</t>
  </si>
  <si>
    <t>Benson Community School</t>
  </si>
  <si>
    <t>REABE</t>
  </si>
  <si>
    <t>Birches Green Infant School</t>
  </si>
  <si>
    <t>REABF</t>
  </si>
  <si>
    <t>Birches Green Junior School</t>
  </si>
  <si>
    <t>REABK</t>
  </si>
  <si>
    <t>Blakesley Hall Primary School</t>
  </si>
  <si>
    <t>REABL</t>
  </si>
  <si>
    <t>Boldmere Infant School and Nursery</t>
  </si>
  <si>
    <t>REABM</t>
  </si>
  <si>
    <t>Boldmere Junior School</t>
  </si>
  <si>
    <t>REABN</t>
  </si>
  <si>
    <t>Bordesley Green Primary School</t>
  </si>
  <si>
    <t>REABR</t>
  </si>
  <si>
    <t>Bournville Village Primary</t>
  </si>
  <si>
    <t>REABT</t>
  </si>
  <si>
    <t>Broadmeadow Infant School</t>
  </si>
  <si>
    <t>REABV</t>
  </si>
  <si>
    <t>Broadmeadow Junior School</t>
  </si>
  <si>
    <t>REACB</t>
  </si>
  <si>
    <t>Calshot Primary School</t>
  </si>
  <si>
    <t>REACD</t>
  </si>
  <si>
    <t>Chad Vale Primary School</t>
  </si>
  <si>
    <t>REACF</t>
  </si>
  <si>
    <t>Cherry Orchard Primary School</t>
  </si>
  <si>
    <t>REACG</t>
  </si>
  <si>
    <t>Chilcote Primary School</t>
  </si>
  <si>
    <t>REACJ</t>
  </si>
  <si>
    <t>Christ The King Catholic Primary School</t>
  </si>
  <si>
    <t>REACK</t>
  </si>
  <si>
    <t>Christ Church CofE Controlled Primary School and Nursery</t>
  </si>
  <si>
    <t>REACN</t>
  </si>
  <si>
    <t>Clifton Primary School</t>
  </si>
  <si>
    <t>REACP</t>
  </si>
  <si>
    <t>Cofton Primary School</t>
  </si>
  <si>
    <t>REACQ</t>
  </si>
  <si>
    <t>Colebourne Primary School</t>
  </si>
  <si>
    <t>REACV</t>
  </si>
  <si>
    <t>Colmore Infant and Nursery School</t>
  </si>
  <si>
    <t>REACW</t>
  </si>
  <si>
    <t>Colmore Junior School</t>
  </si>
  <si>
    <t>REACY</t>
  </si>
  <si>
    <t>Coppice Primary School</t>
  </si>
  <si>
    <t>REACZ</t>
  </si>
  <si>
    <t>Corpus Christi Catholic Primary School</t>
  </si>
  <si>
    <t>READA</t>
  </si>
  <si>
    <t>Cotteridge Primary School</t>
  </si>
  <si>
    <t>READD</t>
  </si>
  <si>
    <t>Court Farm Primary School</t>
  </si>
  <si>
    <t>READG</t>
  </si>
  <si>
    <t>Deykin Avenue Junior and Infant School</t>
  </si>
  <si>
    <t>READJ</t>
  </si>
  <si>
    <t>Elms Farm Community Primary School</t>
  </si>
  <si>
    <t>READK</t>
  </si>
  <si>
    <t>English Martyrs' Catholic Primary School</t>
  </si>
  <si>
    <t>READN</t>
  </si>
  <si>
    <t>Featherstone Primary School</t>
  </si>
  <si>
    <t>READX</t>
  </si>
  <si>
    <t>Four Oaks Primary School</t>
  </si>
  <si>
    <t>READY</t>
  </si>
  <si>
    <t>Forestdale Primary School</t>
  </si>
  <si>
    <t>READZ</t>
  </si>
  <si>
    <t>George Dixon Primary School</t>
  </si>
  <si>
    <t>REAEA</t>
  </si>
  <si>
    <t>Gilbertstone Primary School</t>
  </si>
  <si>
    <t>REAEB</t>
  </si>
  <si>
    <t>Glenmead Primary School</t>
  </si>
  <si>
    <t>REAEH</t>
  </si>
  <si>
    <t>Grendon Primary School</t>
  </si>
  <si>
    <t>REAEK</t>
  </si>
  <si>
    <t>Grove School</t>
  </si>
  <si>
    <t>REAEL</t>
  </si>
  <si>
    <t>Guardian Angels Catholic Primary School</t>
  </si>
  <si>
    <t>REAEM</t>
  </si>
  <si>
    <t>Gunter Primary School</t>
  </si>
  <si>
    <t>REAEN</t>
  </si>
  <si>
    <t>Hall Green Infant School</t>
  </si>
  <si>
    <t>REAEP</t>
  </si>
  <si>
    <t>Hall Green Junior School</t>
  </si>
  <si>
    <t>REAER</t>
  </si>
  <si>
    <t>Harborne Primary School</t>
  </si>
  <si>
    <t>REAHP</t>
  </si>
  <si>
    <t>Harper Bell Seventh-Day Adventist School</t>
  </si>
  <si>
    <t>REAEW</t>
  </si>
  <si>
    <t>Hawthorn Primary School</t>
  </si>
  <si>
    <t>REAEX</t>
  </si>
  <si>
    <t>Heath Mount Primary School</t>
  </si>
  <si>
    <t>REAFB</t>
  </si>
  <si>
    <t>Highters Heath Community School</t>
  </si>
  <si>
    <t>REAFG</t>
  </si>
  <si>
    <t>Holland House Infant School and Nursery</t>
  </si>
  <si>
    <t>REAFH</t>
  </si>
  <si>
    <t>Holly Hill Methodist CofE Infant School</t>
  </si>
  <si>
    <t>REAFK</t>
  </si>
  <si>
    <t>Hollyfield Primary School</t>
  </si>
  <si>
    <t>REAFL</t>
  </si>
  <si>
    <t>Hollywood Primary School</t>
  </si>
  <si>
    <t>REAFP</t>
  </si>
  <si>
    <t>Holy Family Catholic Primary School</t>
  </si>
  <si>
    <t>REAFT</t>
  </si>
  <si>
    <t>James Watt Primary School</t>
  </si>
  <si>
    <t>REAFW</t>
  </si>
  <si>
    <t>King David Junior and Infant School</t>
  </si>
  <si>
    <t>REAFY</t>
  </si>
  <si>
    <t>Kings Heath Primary School</t>
  </si>
  <si>
    <t>REAFZ</t>
  </si>
  <si>
    <t>Kings Norton Primary</t>
  </si>
  <si>
    <t>REAGB</t>
  </si>
  <si>
    <t>Kingsland Primary School (NC)</t>
  </si>
  <si>
    <t>REAGC</t>
  </si>
  <si>
    <t>Kingsthorne Primary School</t>
  </si>
  <si>
    <t>REAGD</t>
  </si>
  <si>
    <t>Kitwell Primary School and Nursery Class</t>
  </si>
  <si>
    <t>REAGE</t>
  </si>
  <si>
    <t>Ladypool Primary School</t>
  </si>
  <si>
    <t>REAGF</t>
  </si>
  <si>
    <t>Lakey Lane Junior and Infant School</t>
  </si>
  <si>
    <t>REAGK</t>
  </si>
  <si>
    <t>Little Sutton Primary School</t>
  </si>
  <si>
    <t>REAGL</t>
  </si>
  <si>
    <t>Lozells Junior and Infant School and Nursery</t>
  </si>
  <si>
    <t>REAGM</t>
  </si>
  <si>
    <t>Lyndon Green Infant School</t>
  </si>
  <si>
    <t>REAGN</t>
  </si>
  <si>
    <t>Lyndon Green Junior School</t>
  </si>
  <si>
    <t>REAGP</t>
  </si>
  <si>
    <t>Maney Hill Primary School</t>
  </si>
  <si>
    <t>REAGV</t>
  </si>
  <si>
    <t>Mapledene Primary School</t>
  </si>
  <si>
    <t>REAGY</t>
  </si>
  <si>
    <t>Marsh Hill Primary School</t>
  </si>
  <si>
    <t>REAGZ</t>
  </si>
  <si>
    <t>Maryvale Catholic Primary School</t>
  </si>
  <si>
    <t>REAHA</t>
  </si>
  <si>
    <t>The Meadows Primary School</t>
  </si>
  <si>
    <t>REAHC</t>
  </si>
  <si>
    <t>Minworth Junior and Infant School</t>
  </si>
  <si>
    <t>REAHG</t>
  </si>
  <si>
    <t>Moor Hall Primary School</t>
  </si>
  <si>
    <t>REAHH</t>
  </si>
  <si>
    <t>Moseley Church of England Primary School</t>
  </si>
  <si>
    <t>REAHL</t>
  </si>
  <si>
    <t>Nelson Junior and Infant School</t>
  </si>
  <si>
    <t>REAHM</t>
  </si>
  <si>
    <t>Nelson Mandela School</t>
  </si>
  <si>
    <t>REAHN</t>
  </si>
  <si>
    <t>New Hall Primary School</t>
  </si>
  <si>
    <t>REAHX</t>
  </si>
  <si>
    <t>The Oratory Roman Catholic Primary School</t>
  </si>
  <si>
    <t>REAHY</t>
  </si>
  <si>
    <t>Osborne Primary School</t>
  </si>
  <si>
    <t>REAHZ</t>
  </si>
  <si>
    <t>Our Lady and St Rose of Lima Catholic Primary School</t>
  </si>
  <si>
    <t>REAJB</t>
  </si>
  <si>
    <t>Our Lady of Lourdes Catholic Primary School (NC)</t>
  </si>
  <si>
    <t>REAJC</t>
  </si>
  <si>
    <t>Our Lady's Catholic Primary School</t>
  </si>
  <si>
    <t>REAJE</t>
  </si>
  <si>
    <t>Paganel Primary School</t>
  </si>
  <si>
    <t>REAJF</t>
  </si>
  <si>
    <t>Paget Primary School</t>
  </si>
  <si>
    <t>REAJG</t>
  </si>
  <si>
    <t>Park Hill Primary School</t>
  </si>
  <si>
    <t>REAJK</t>
  </si>
  <si>
    <t>Penns Primary School</t>
  </si>
  <si>
    <t>REAJM</t>
  </si>
  <si>
    <t>Beeches Infant School</t>
  </si>
  <si>
    <t>REAJN</t>
  </si>
  <si>
    <t>Beeches Junior School</t>
  </si>
  <si>
    <t>REAJP</t>
  </si>
  <si>
    <t>Story Wood School</t>
  </si>
  <si>
    <t>REAJX</t>
  </si>
  <si>
    <t>Raddlebarn Primary School</t>
  </si>
  <si>
    <t>REAJZ</t>
  </si>
  <si>
    <t>Redhill Primary School</t>
  </si>
  <si>
    <t>REAKA</t>
  </si>
  <si>
    <t>Rednal Hill Infant School</t>
  </si>
  <si>
    <t>REAKB</t>
  </si>
  <si>
    <t>Rednal Hill Junior School</t>
  </si>
  <si>
    <t>REAKC</t>
  </si>
  <si>
    <t>Regents Park Community Primary School</t>
  </si>
  <si>
    <t>REAKH</t>
  </si>
  <si>
    <t>The Rosary Catholic Primary School</t>
  </si>
  <si>
    <t>REAKK</t>
  </si>
  <si>
    <t>Severne Junior Infant and Nursery School</t>
  </si>
  <si>
    <t>REAKL</t>
  </si>
  <si>
    <t>Shaw Hill Primary School</t>
  </si>
  <si>
    <t>REAKP</t>
  </si>
  <si>
    <t>The Oaks Primary School</t>
  </si>
  <si>
    <t>REAKR</t>
  </si>
  <si>
    <t>Sladefield Infant School</t>
  </si>
  <si>
    <t>REAKT</t>
  </si>
  <si>
    <t>Somerville Primary (NC) School</t>
  </si>
  <si>
    <t>REAKX</t>
  </si>
  <si>
    <t>St Alban's Catholic Primary School</t>
  </si>
  <si>
    <t>REAKY</t>
  </si>
  <si>
    <t>St Ambrose Barlow Catholic Primary School</t>
  </si>
  <si>
    <t>REALA</t>
  </si>
  <si>
    <t>St Anne's Catholic Primary School</t>
  </si>
  <si>
    <t>REALB</t>
  </si>
  <si>
    <t>St Augustine's Catholic Primary School</t>
  </si>
  <si>
    <t>REALD</t>
  </si>
  <si>
    <t>St Benedict's Primary School</t>
  </si>
  <si>
    <t>REALE</t>
  </si>
  <si>
    <t>St Bernadette's Catholic Primary School</t>
  </si>
  <si>
    <t>REALF</t>
  </si>
  <si>
    <t>St Bernard's Catholic Primary School</t>
  </si>
  <si>
    <t>REALH</t>
  </si>
  <si>
    <t>St Catherine of Siena Catholic Primary School</t>
  </si>
  <si>
    <t>REALJ</t>
  </si>
  <si>
    <t>St Chad's Catholic Primary School</t>
  </si>
  <si>
    <t>REALK</t>
  </si>
  <si>
    <t>St Clare's Catholic Primary School</t>
  </si>
  <si>
    <t>REALN</t>
  </si>
  <si>
    <t>St Cuthbert's Catholic Primary School</t>
  </si>
  <si>
    <t>REALP</t>
  </si>
  <si>
    <t>St Dunstan's Catholic Primary School</t>
  </si>
  <si>
    <t>REALQ</t>
  </si>
  <si>
    <t>St Edmund's Catholic Primary School</t>
  </si>
  <si>
    <t>REALR</t>
  </si>
  <si>
    <t>St Edward's Catholic Primary School</t>
  </si>
  <si>
    <t>REALV</t>
  </si>
  <si>
    <t>St Francis Catholic Primary School</t>
  </si>
  <si>
    <t>REALY</t>
  </si>
  <si>
    <t>St Gerard's Catholic Primary School</t>
  </si>
  <si>
    <t>REALZ</t>
  </si>
  <si>
    <t>St James Church of England Primary School, Handsworth</t>
  </si>
  <si>
    <t>REAMB</t>
  </si>
  <si>
    <t>SS John &amp; Monica Catholic Primary School</t>
  </si>
  <si>
    <t>REAMC</t>
  </si>
  <si>
    <t>REAMG</t>
  </si>
  <si>
    <t>St Joseph's Catholic Primary School (B7)</t>
  </si>
  <si>
    <t>REAMJ</t>
  </si>
  <si>
    <t>St Jude's Catholic Primary School</t>
  </si>
  <si>
    <t>REAMK</t>
  </si>
  <si>
    <t>St Laurence Church Infant School</t>
  </si>
  <si>
    <t>REAML</t>
  </si>
  <si>
    <t>St Laurence Church Junior School</t>
  </si>
  <si>
    <t>REAMN</t>
  </si>
  <si>
    <t>St Margaret Mary Catholic Primary School</t>
  </si>
  <si>
    <t>REAMP</t>
  </si>
  <si>
    <t>St Mark's Catholic Primary School</t>
  </si>
  <si>
    <t>REAMQ</t>
  </si>
  <si>
    <t>St Martin de Porres Catholic Primary School</t>
  </si>
  <si>
    <t>REAMV</t>
  </si>
  <si>
    <t>St Mary's Church of England Primary School</t>
  </si>
  <si>
    <t>REAMW</t>
  </si>
  <si>
    <t>St Mary's Catholic Primary School</t>
  </si>
  <si>
    <t>REAMX</t>
  </si>
  <si>
    <t>St Matthew's CofE Primary School</t>
  </si>
  <si>
    <t>REANB</t>
  </si>
  <si>
    <t>St Patrick's Catholic Primary School</t>
  </si>
  <si>
    <t>REANF</t>
  </si>
  <si>
    <t>St Peters CofE Primary School</t>
  </si>
  <si>
    <t>REANG</t>
  </si>
  <si>
    <t>St Peter's Catholic Primary School</t>
  </si>
  <si>
    <t>REANH</t>
  </si>
  <si>
    <t>St Saviour's C of E Primary School</t>
  </si>
  <si>
    <t>REANJ</t>
  </si>
  <si>
    <t>St Teresa's Catholic Primary School</t>
  </si>
  <si>
    <t>REANM</t>
  </si>
  <si>
    <t>St Vincent's Catholic Primary School</t>
  </si>
  <si>
    <t>REANN</t>
  </si>
  <si>
    <t>St Wilfrid's Catholic Junior and Infant School</t>
  </si>
  <si>
    <t>REANP</t>
  </si>
  <si>
    <t>Stanville Primary School</t>
  </si>
  <si>
    <t>REANQ</t>
  </si>
  <si>
    <t>REANR</t>
  </si>
  <si>
    <t>Stechford Primary School</t>
  </si>
  <si>
    <t>REANV</t>
  </si>
  <si>
    <t>Summerfield School</t>
  </si>
  <si>
    <t>REANW</t>
  </si>
  <si>
    <t>Sundridge Primary School</t>
  </si>
  <si>
    <t>REANY</t>
  </si>
  <si>
    <t>Thornton Primary School</t>
  </si>
  <si>
    <t>REAPH</t>
  </si>
  <si>
    <t>Walmley Infant School</t>
  </si>
  <si>
    <t>REAPJ</t>
  </si>
  <si>
    <t>Walmley Junior School</t>
  </si>
  <si>
    <t>REAPK</t>
  </si>
  <si>
    <t>Ward End Primary School</t>
  </si>
  <si>
    <t>REAPM</t>
  </si>
  <si>
    <t>Water Mill Primary School</t>
  </si>
  <si>
    <t>REAPP</t>
  </si>
  <si>
    <t>Wattville Primary School</t>
  </si>
  <si>
    <t>REAPQ</t>
  </si>
  <si>
    <t>Welford Primary School</t>
  </si>
  <si>
    <t>REAPR</t>
  </si>
  <si>
    <t>Welsh House Farm Community School and Special Needs Resources Base</t>
  </si>
  <si>
    <t>REAPV</t>
  </si>
  <si>
    <t>West Heath Primary School</t>
  </si>
  <si>
    <t>REAPY</t>
  </si>
  <si>
    <t>Wheelers Lane Primary School</t>
  </si>
  <si>
    <t>REAPZ</t>
  </si>
  <si>
    <t>Whitehouse Common Primary School</t>
  </si>
  <si>
    <t>REARA</t>
  </si>
  <si>
    <t>William Murdoch Primary School</t>
  </si>
  <si>
    <t>REARC</t>
  </si>
  <si>
    <t>Woodcock Hill Primary School</t>
  </si>
  <si>
    <t>REARD</t>
  </si>
  <si>
    <t>Woodgate Primary School</t>
  </si>
  <si>
    <t>REARF</t>
  </si>
  <si>
    <t>Woodthorpe Junior and Infant School</t>
  </si>
  <si>
    <t>REARG</t>
  </si>
  <si>
    <t>World's End Infant and Nursery School</t>
  </si>
  <si>
    <t>REARH</t>
  </si>
  <si>
    <t>World's End Junior School</t>
  </si>
  <si>
    <t>REARL</t>
  </si>
  <si>
    <t>Wylde Green Primary School</t>
  </si>
  <si>
    <t>REARQ</t>
  </si>
  <si>
    <t>Yardley Primary School</t>
  </si>
  <si>
    <t>REARR</t>
  </si>
  <si>
    <t>Yardley Wood Community Primary School</t>
  </si>
  <si>
    <t>REARY</t>
  </si>
  <si>
    <t>Yorkmead Junior and Infant School</t>
  </si>
  <si>
    <t>REATE</t>
  </si>
  <si>
    <t>Bishop Challoner Catholic College</t>
  </si>
  <si>
    <t>S</t>
  </si>
  <si>
    <t>REATH</t>
  </si>
  <si>
    <t>Bordesley Green Girls' School &amp; Sixth Form</t>
  </si>
  <si>
    <t>REATN</t>
  </si>
  <si>
    <t>Cardinal Wiseman Catholic School</t>
  </si>
  <si>
    <t>REATR</t>
  </si>
  <si>
    <t>Colmers School and Sixth Form College</t>
  </si>
  <si>
    <t>REAVH</t>
  </si>
  <si>
    <t>Hodge Hill College</t>
  </si>
  <si>
    <t>REAVJ</t>
  </si>
  <si>
    <t>Hodge Hill Girls' School</t>
  </si>
  <si>
    <t>REAVK</t>
  </si>
  <si>
    <t>Holte School</t>
  </si>
  <si>
    <t>REAVW</t>
  </si>
  <si>
    <t>Kings Heath Boys</t>
  </si>
  <si>
    <t>REAVX</t>
  </si>
  <si>
    <t>King's Norton Boys' School</t>
  </si>
  <si>
    <t>REAWD</t>
  </si>
  <si>
    <t>Moseley School and Sixth Form</t>
  </si>
  <si>
    <t>REAWJ</t>
  </si>
  <si>
    <t>Queensbridge School</t>
  </si>
  <si>
    <t>REAWL</t>
  </si>
  <si>
    <t>Selly Park Girls' School</t>
  </si>
  <si>
    <t>REAWV</t>
  </si>
  <si>
    <t>St John Wall Catholic School</t>
  </si>
  <si>
    <t>REAWX</t>
  </si>
  <si>
    <t>St Paul's School for Girls</t>
  </si>
  <si>
    <t>REAXB</t>
  </si>
  <si>
    <t>Swanshurst School</t>
  </si>
  <si>
    <t>REAXE</t>
  </si>
  <si>
    <t>Turves Green Boys' School</t>
  </si>
  <si>
    <t>REAXF</t>
  </si>
  <si>
    <t>Turves Green Girls' School</t>
  </si>
  <si>
    <t>REAXJ</t>
  </si>
  <si>
    <t>Wheelers Lane Technology College</t>
  </si>
  <si>
    <t>REAXL</t>
  </si>
  <si>
    <t>Baskerville School</t>
  </si>
  <si>
    <t>Spcl</t>
  </si>
  <si>
    <t>REAXM</t>
  </si>
  <si>
    <t>Beaufort School</t>
  </si>
  <si>
    <t>REAXN</t>
  </si>
  <si>
    <t>Braidwood School for the Deaf</t>
  </si>
  <si>
    <t>REAXT</t>
  </si>
  <si>
    <t>Cherry Oak School</t>
  </si>
  <si>
    <t>REAXV</t>
  </si>
  <si>
    <t>The Dame Ellen Pinsent School</t>
  </si>
  <si>
    <t>REAXW</t>
  </si>
  <si>
    <t>Fox Hollies School</t>
  </si>
  <si>
    <t>REAXZ</t>
  </si>
  <si>
    <t>Hamilton School</t>
  </si>
  <si>
    <t>REAYA</t>
  </si>
  <si>
    <t>Hunters Hill College</t>
  </si>
  <si>
    <t>REAYC</t>
  </si>
  <si>
    <t>Oscott Manor School</t>
  </si>
  <si>
    <t>REAYD</t>
  </si>
  <si>
    <t>Langley School</t>
  </si>
  <si>
    <t>REAYE</t>
  </si>
  <si>
    <t>Lindsworth School</t>
  </si>
  <si>
    <t>REAYG</t>
  </si>
  <si>
    <t>Longwill Primary School for Deaf Children</t>
  </si>
  <si>
    <t>REAYH</t>
  </si>
  <si>
    <t>Mayfield School</t>
  </si>
  <si>
    <t>REAYJ</t>
  </si>
  <si>
    <t>The Pines Special School</t>
  </si>
  <si>
    <t>REAYK</t>
  </si>
  <si>
    <t>Priestley Smith School</t>
  </si>
  <si>
    <t>REAYL</t>
  </si>
  <si>
    <t>REAYM</t>
  </si>
  <si>
    <t>Selly Oak Trust School</t>
  </si>
  <si>
    <t>REAYN</t>
  </si>
  <si>
    <t>Skilts School</t>
  </si>
  <si>
    <t>REAYP</t>
  </si>
  <si>
    <t>Springfield House Community Special School</t>
  </si>
  <si>
    <t>REAYQ</t>
  </si>
  <si>
    <t>Uffculme School</t>
  </si>
  <si>
    <t>REAYT</t>
  </si>
  <si>
    <t>Victoria School</t>
  </si>
  <si>
    <t>REAAB</t>
  </si>
  <si>
    <t>City of Birmingham School</t>
  </si>
  <si>
    <t>Cheque Book</t>
  </si>
  <si>
    <t>Total</t>
  </si>
  <si>
    <t>DOE No</t>
  </si>
  <si>
    <t>Fund Centre</t>
  </si>
  <si>
    <t>School Name</t>
  </si>
  <si>
    <t xml:space="preserve">Fair Funding
Formula
Budget Share
</t>
  </si>
  <si>
    <t xml:space="preserve">EFA
Grant
</t>
  </si>
  <si>
    <t xml:space="preserve">Total S251
Formula
Budget Share
</t>
  </si>
  <si>
    <t>Exceptional Spec Needs</t>
  </si>
  <si>
    <t>High Needs Pupils</t>
  </si>
  <si>
    <t>High Needs Top Up</t>
  </si>
  <si>
    <t>POST 19 Top Up</t>
  </si>
  <si>
    <t>BSS</t>
  </si>
  <si>
    <t>Resource Base Top Up Summer Term</t>
  </si>
  <si>
    <t>Resource Base Top Up Autumn Term</t>
  </si>
  <si>
    <t>Resource Base Top Up Spring Term</t>
  </si>
  <si>
    <t>Pupil Premium - June</t>
  </si>
  <si>
    <t>Pupil Premium - Sept</t>
  </si>
  <si>
    <t>Pupil Premium - Dec</t>
  </si>
  <si>
    <t>Pupil Premium - March</t>
  </si>
  <si>
    <t>Summer Schools June</t>
  </si>
  <si>
    <t>Summer Schools Sept</t>
  </si>
  <si>
    <t>PE and Sport Grant</t>
  </si>
  <si>
    <t>16-19 Bursary</t>
  </si>
  <si>
    <t>School Direct Salary Funding - NCTL</t>
  </si>
  <si>
    <t>UIFSM</t>
  </si>
  <si>
    <t>Teachers Pay Grant</t>
  </si>
  <si>
    <t>Early Years Pupil Premium</t>
  </si>
  <si>
    <t>EFA Post 16</t>
  </si>
  <si>
    <t>Contingency</t>
  </si>
  <si>
    <t>FSM supplementary grant</t>
  </si>
  <si>
    <t xml:space="preserve">Total
SBS Additions
</t>
  </si>
  <si>
    <t xml:space="preserve">Total
Resources
Available
</t>
  </si>
  <si>
    <t>Check</t>
  </si>
  <si>
    <t>EPA</t>
  </si>
  <si>
    <t>ADDERLEY Nurs</t>
  </si>
  <si>
    <t>Chq Bk</t>
  </si>
  <si>
    <t>ALLENS CROFT Nurs</t>
  </si>
  <si>
    <t>Non Chq Bk</t>
  </si>
  <si>
    <t>BLOOMSBURY Nurs</t>
  </si>
  <si>
    <t>BORDESLEY GREEN Nurs</t>
  </si>
  <si>
    <t>BREARLEY ST Nurs</t>
  </si>
  <si>
    <t>CASTLE VALE Nurs</t>
  </si>
  <si>
    <t xml:space="preserve">EDITH CADBURY Nrsy </t>
  </si>
  <si>
    <t>FEATHERSTONE Nurs</t>
  </si>
  <si>
    <t>GARRETTS GREEN Nurs</t>
  </si>
  <si>
    <t>GOODWAY Nurs</t>
  </si>
  <si>
    <t>GRACELANDS Nurs</t>
  </si>
  <si>
    <t>HIGHFIELD Nurs</t>
  </si>
  <si>
    <t>HIGHTERS HEATH Nurs</t>
  </si>
  <si>
    <t>JAKEMAN Nurs</t>
  </si>
  <si>
    <t>KINGS NORTON Nurs</t>
  </si>
  <si>
    <t>LILLIAN DE LISSA Nurs</t>
  </si>
  <si>
    <t>MARSH HILL Nurs</t>
  </si>
  <si>
    <t>NEWTOWN Nurs</t>
  </si>
  <si>
    <t>OSBORNE Nurs</t>
  </si>
  <si>
    <t>PERRY BEECHES Nurs</t>
  </si>
  <si>
    <t>RUBERY Nurs</t>
  </si>
  <si>
    <t>SELLY OAK Nurs</t>
  </si>
  <si>
    <t>SHENLEY FIELDS Nurs</t>
  </si>
  <si>
    <t>ST THOMAS Nurs</t>
  </si>
  <si>
    <t>WASHWOOD HEATH Nurs</t>
  </si>
  <si>
    <t>WEOLEY CASTLE Nurs</t>
  </si>
  <si>
    <t>WEST HEATH Nurs</t>
  </si>
  <si>
    <t xml:space="preserve">ABBEY RC JI </t>
  </si>
  <si>
    <t xml:space="preserve">ADDERLEY JI </t>
  </si>
  <si>
    <t xml:space="preserve">AL-FURQAN JI </t>
  </si>
  <si>
    <t xml:space="preserve">ALLENS CROFT JI </t>
  </si>
  <si>
    <t>ANDERTON PARK JI NC</t>
  </si>
  <si>
    <t>ANGLESEY JI NC</t>
  </si>
  <si>
    <t>ARDEN JI NC</t>
  </si>
  <si>
    <t>BARFORD JI NC</t>
  </si>
  <si>
    <t>BELLFIELD I NC</t>
  </si>
  <si>
    <t xml:space="preserve">BELLFIELD J </t>
  </si>
  <si>
    <t xml:space="preserve">BELLS FARM JI </t>
  </si>
  <si>
    <t>BENSON JI NC</t>
  </si>
  <si>
    <t>BIRCHES GREEN I NC</t>
  </si>
  <si>
    <t xml:space="preserve">BIRCHES GREEN J </t>
  </si>
  <si>
    <t xml:space="preserve">BLAKESLEY HALL JI </t>
  </si>
  <si>
    <t>BOLDMERE I NC</t>
  </si>
  <si>
    <t xml:space="preserve">BOLDMERE J </t>
  </si>
  <si>
    <t>BORDESLEY GREEN JI NC</t>
  </si>
  <si>
    <t>Bournville Village Primary (formerly Bournville Junior)</t>
  </si>
  <si>
    <t>BROADMEADOW I NC</t>
  </si>
  <si>
    <t xml:space="preserve">BROADMEADOW J </t>
  </si>
  <si>
    <t>CALSHOT JI NC</t>
  </si>
  <si>
    <t xml:space="preserve">CHAD VALE JI </t>
  </si>
  <si>
    <t>CHERRY ORCHARD JI NC</t>
  </si>
  <si>
    <t>CHILCOTE JI NC</t>
  </si>
  <si>
    <t>CHRIST THE KING RC JI NC</t>
  </si>
  <si>
    <t>CHRISTCHURCH CE JI NC</t>
  </si>
  <si>
    <t>CLIFTON JI NC</t>
  </si>
  <si>
    <t xml:space="preserve">COFTON JI </t>
  </si>
  <si>
    <t xml:space="preserve">COLEBOURNE JI </t>
  </si>
  <si>
    <t>COLMORE I NC</t>
  </si>
  <si>
    <t xml:space="preserve">COLMORE J </t>
  </si>
  <si>
    <t xml:space="preserve">COPPICE JI </t>
  </si>
  <si>
    <t xml:space="preserve">CORPUS CHRISTI RC JI </t>
  </si>
  <si>
    <t>COTTERIDGE JI NC</t>
  </si>
  <si>
    <t xml:space="preserve">COURT FARM JI </t>
  </si>
  <si>
    <t xml:space="preserve">DEYKIN AVENUE JI </t>
  </si>
  <si>
    <t>ELMS FARM JI NC</t>
  </si>
  <si>
    <t xml:space="preserve">ENGLISH MARTYRS RC JI </t>
  </si>
  <si>
    <t xml:space="preserve">FEATHERSTONE JI </t>
  </si>
  <si>
    <t>FORESTDALE JI NC</t>
  </si>
  <si>
    <t xml:space="preserve">FOUR OAKS JI </t>
  </si>
  <si>
    <t xml:space="preserve">GEORGE DIXON JI </t>
  </si>
  <si>
    <t>GILBERTSTONE JI NC</t>
  </si>
  <si>
    <t>Chq bk</t>
  </si>
  <si>
    <t xml:space="preserve">GLENMEAD JI </t>
  </si>
  <si>
    <t>GRENDON JI NC</t>
  </si>
  <si>
    <t>GROVE JI NC</t>
  </si>
  <si>
    <t xml:space="preserve">GUARDIAN ANGELS RC JI </t>
  </si>
  <si>
    <t>GUNTER JI NC</t>
  </si>
  <si>
    <t>HALL GREEN I NC</t>
  </si>
  <si>
    <t xml:space="preserve">HALL GREEN J </t>
  </si>
  <si>
    <t xml:space="preserve">HARBORNE JI </t>
  </si>
  <si>
    <t>HARPER BELL PRIMARY JI NC</t>
  </si>
  <si>
    <t xml:space="preserve">HAWTHORN JI </t>
  </si>
  <si>
    <t xml:space="preserve">HEATH MOUNT JI </t>
  </si>
  <si>
    <t xml:space="preserve">HIGHTERS HEATH JI </t>
  </si>
  <si>
    <t>HOLLAND HOUSE I NC</t>
  </si>
  <si>
    <t>HOLLY HILL I NC</t>
  </si>
  <si>
    <t xml:space="preserve">HOLLYFIELD JI </t>
  </si>
  <si>
    <t xml:space="preserve">HOLLYWOOD JI </t>
  </si>
  <si>
    <t>HOLY FAMILY RC JI NC</t>
  </si>
  <si>
    <t>JAMES WATT JI NC</t>
  </si>
  <si>
    <t>KING DAVID JI NC</t>
  </si>
  <si>
    <t>KINGS HEATH JI NC</t>
  </si>
  <si>
    <t xml:space="preserve">KINGS NORTON JI </t>
  </si>
  <si>
    <t>KINGSLAND JI NC</t>
  </si>
  <si>
    <t>KINGSTHORNE JI NC</t>
  </si>
  <si>
    <t>KITWELL JI NC</t>
  </si>
  <si>
    <t>LADYPOOL JI NC</t>
  </si>
  <si>
    <t>LAKEY LANE JI NC</t>
  </si>
  <si>
    <t xml:space="preserve">LITTLE SUTTON JI </t>
  </si>
  <si>
    <t>LOZELLS JI NC</t>
  </si>
  <si>
    <t xml:space="preserve">LYNDON GREEN I </t>
  </si>
  <si>
    <t xml:space="preserve">LYNDON GREEN J </t>
  </si>
  <si>
    <t xml:space="preserve">MANEY HILL JI </t>
  </si>
  <si>
    <t>MAPLEDENE JI NC</t>
  </si>
  <si>
    <t xml:space="preserve">MARSH HILL JI </t>
  </si>
  <si>
    <t>MARYVALE RC JI NC</t>
  </si>
  <si>
    <t xml:space="preserve">MEADOWS JI </t>
  </si>
  <si>
    <t xml:space="preserve">MINWORTH JI </t>
  </si>
  <si>
    <t xml:space="preserve">MOOR HALL JI </t>
  </si>
  <si>
    <t xml:space="preserve">MOSELEY CE JI </t>
  </si>
  <si>
    <t>NELSON JI NC</t>
  </si>
  <si>
    <t>NELSON MANDELA JI NC</t>
  </si>
  <si>
    <t>NEW HALL JI NC</t>
  </si>
  <si>
    <t>NEW OSCOTT JI NC</t>
  </si>
  <si>
    <t>OAKS, THE JI NC</t>
  </si>
  <si>
    <t>ORATORY RC JI NC</t>
  </si>
  <si>
    <t xml:space="preserve">OSBORNE JI </t>
  </si>
  <si>
    <t>OUR LADY AND ST ROSE RC JI NC</t>
  </si>
  <si>
    <t>OUR LADY OF LOURDES RC JI NC</t>
  </si>
  <si>
    <t xml:space="preserve">OUR LADY'S RC JI </t>
  </si>
  <si>
    <t>PAGANEL JI NC</t>
  </si>
  <si>
    <t>PAGET JI NC</t>
  </si>
  <si>
    <t>PARK HILL JI NC</t>
  </si>
  <si>
    <t xml:space="preserve">PENNS JI </t>
  </si>
  <si>
    <t xml:space="preserve">BEECHES I (Formerly PERRY BEECHES I) </t>
  </si>
  <si>
    <t xml:space="preserve">PERRY BEECHES J </t>
  </si>
  <si>
    <t>RADDLEBARN JI NC</t>
  </si>
  <si>
    <t>REDHILL JI NC</t>
  </si>
  <si>
    <t>REDNAL HILL I NC</t>
  </si>
  <si>
    <t xml:space="preserve">REDNAL HILL J </t>
  </si>
  <si>
    <t>REGENTS PARK JI NC</t>
  </si>
  <si>
    <t>ROSARY RC JI NC</t>
  </si>
  <si>
    <t>SEVERNE JI NC</t>
  </si>
  <si>
    <t>SHAW HILL JI NC</t>
  </si>
  <si>
    <t xml:space="preserve">SLADEFIELD I </t>
  </si>
  <si>
    <t>SOMERVILLE JI NC</t>
  </si>
  <si>
    <t xml:space="preserve">ST ALBANS RC JI </t>
  </si>
  <si>
    <t xml:space="preserve">ST AMBROSE BARLOW RC JI </t>
  </si>
  <si>
    <t xml:space="preserve">ST ANNE'S RC JI </t>
  </si>
  <si>
    <t>ST AUGUSTINE'S RC JI NC</t>
  </si>
  <si>
    <t>ST BENEDICT'S I NC</t>
  </si>
  <si>
    <t>ST BERNADETTE'S RC JI NC</t>
  </si>
  <si>
    <t xml:space="preserve">ST BERNARD'S RC JI </t>
  </si>
  <si>
    <t>ST CATHERINE'S RC JI NC</t>
  </si>
  <si>
    <t xml:space="preserve">ST CHAD'S RC JI </t>
  </si>
  <si>
    <t>ST CLARE'S RC JI NC</t>
  </si>
  <si>
    <t>ST CUTHBERTS RC JI NC</t>
  </si>
  <si>
    <t>ST DUNSTAN'S RC JI NC</t>
  </si>
  <si>
    <t>ST EDMUND'S RC JI NC</t>
  </si>
  <si>
    <t xml:space="preserve">ST EDWARD'S RC JI </t>
  </si>
  <si>
    <t xml:space="preserve">ST FRANCIS RC JI </t>
  </si>
  <si>
    <t>ST GERARD'S RC JI NC</t>
  </si>
  <si>
    <t xml:space="preserve">ST JAMES CE JI </t>
  </si>
  <si>
    <t xml:space="preserve">ST JOHN &amp; ST MONICA RC JI </t>
  </si>
  <si>
    <t xml:space="preserve">ST JOSEPH'S RC (B7) JI </t>
  </si>
  <si>
    <t xml:space="preserve">ST JUDE'S RC JI </t>
  </si>
  <si>
    <t xml:space="preserve">ST LAURENCE CE I </t>
  </si>
  <si>
    <t xml:space="preserve">ST LAURENCE CE J </t>
  </si>
  <si>
    <t xml:space="preserve">ST MARGARET MARY RC JI </t>
  </si>
  <si>
    <t xml:space="preserve">ST MARK'S RC JI </t>
  </si>
  <si>
    <t xml:space="preserve">ST MARTIN de PORRES RC JI </t>
  </si>
  <si>
    <t xml:space="preserve">ST MARY'S CE (B29) JI </t>
  </si>
  <si>
    <t xml:space="preserve">ST MARY'S RC (B17) JI </t>
  </si>
  <si>
    <t xml:space="preserve">ST MATTHEW'S CE JI </t>
  </si>
  <si>
    <t xml:space="preserve">ST PATRICK'S RC JI </t>
  </si>
  <si>
    <t>ST PETER'S CE JI NC</t>
  </si>
  <si>
    <t xml:space="preserve">ST PETER'S RC JI </t>
  </si>
  <si>
    <t xml:space="preserve">ST SAVIOUR'S CE JI </t>
  </si>
  <si>
    <t xml:space="preserve">ST TERESA'S RC JI </t>
  </si>
  <si>
    <t>ST VINCENT'S RC JI NC</t>
  </si>
  <si>
    <t>CHQ Bk</t>
  </si>
  <si>
    <t>ST WILFRID'S RC JI NC</t>
  </si>
  <si>
    <t>STANVILLE JI NC</t>
  </si>
  <si>
    <t>STECHFORD JI NC</t>
  </si>
  <si>
    <t>STORY WOOD SCHOOL AND CHILDREN'S CENTRE  JI NC</t>
  </si>
  <si>
    <t>SUMMERFIELD JI NC</t>
  </si>
  <si>
    <t xml:space="preserve">SUNDRIDGE JI </t>
  </si>
  <si>
    <t xml:space="preserve">THORNTON JI </t>
  </si>
  <si>
    <t>WALMLEY I NC</t>
  </si>
  <si>
    <t xml:space="preserve">WALMLEY J </t>
  </si>
  <si>
    <t>WARD END JI NC</t>
  </si>
  <si>
    <t xml:space="preserve">WATERMILL JI </t>
  </si>
  <si>
    <t>WATTVILLE JI NC</t>
  </si>
  <si>
    <t>WELFORD JI NC</t>
  </si>
  <si>
    <t>WELSH HOUSE FARM JI NC</t>
  </si>
  <si>
    <t xml:space="preserve">WEST HEATH JI </t>
  </si>
  <si>
    <t>WHEELERS LANE JI NC</t>
  </si>
  <si>
    <t>WHITEHOUSE COMMON JI NC</t>
  </si>
  <si>
    <t>William Murdoch Primary School (formerly Wilkes Green J)</t>
  </si>
  <si>
    <t xml:space="preserve">WOODCOCK HILL JI </t>
  </si>
  <si>
    <t xml:space="preserve">WOODGATE JI </t>
  </si>
  <si>
    <t xml:space="preserve">WOODTHORPE JI </t>
  </si>
  <si>
    <t>WORLDS END I NC</t>
  </si>
  <si>
    <t xml:space="preserve">WORLDS END J </t>
  </si>
  <si>
    <t xml:space="preserve">WYLDE GREEN JI </t>
  </si>
  <si>
    <t xml:space="preserve">YARDLEY JI </t>
  </si>
  <si>
    <t>YARDLEY WOOD JI NC</t>
  </si>
  <si>
    <t>YORKMEAD JI NC</t>
  </si>
  <si>
    <t xml:space="preserve">BISHOP CHALLONER Sec (16+) </t>
  </si>
  <si>
    <t xml:space="preserve">BORDESLEY GREEN GIRLS Sec (16+) </t>
  </si>
  <si>
    <t xml:space="preserve">CARDINAL WISEMAN RC Sec </t>
  </si>
  <si>
    <t xml:space="preserve">COLMERS Sec </t>
  </si>
  <si>
    <t xml:space="preserve">HODGE HILL GIRLS Sec </t>
  </si>
  <si>
    <t xml:space="preserve">HODGE HILL Sec </t>
  </si>
  <si>
    <t xml:space="preserve">HOLTE Sec (16+) </t>
  </si>
  <si>
    <t xml:space="preserve">KINGS HEATH Sec </t>
  </si>
  <si>
    <t xml:space="preserve">KINGS NORTON BOYS Sec (16+) </t>
  </si>
  <si>
    <t xml:space="preserve">MOSELEY Sec (16+) </t>
  </si>
  <si>
    <t xml:space="preserve">QUEENSBRIDGE Sec </t>
  </si>
  <si>
    <t xml:space="preserve">SELLY PARK TECH COLLEGE FOR GIRLS Sec </t>
  </si>
  <si>
    <t xml:space="preserve">ST JOHN WALL RC Sec </t>
  </si>
  <si>
    <t xml:space="preserve">ST PAUL'S RC GIRLS Sec (16+) </t>
  </si>
  <si>
    <t xml:space="preserve">SWANSHURST Sec (16+) </t>
  </si>
  <si>
    <t xml:space="preserve">TURVES GREEN BOYS Sec </t>
  </si>
  <si>
    <t xml:space="preserve">TURVES GREEN GIRLS Sec </t>
  </si>
  <si>
    <t xml:space="preserve">WHEELERS LANE Sec </t>
  </si>
  <si>
    <t>BASKERVILLE Spec</t>
  </si>
  <si>
    <t>BEAUFORT Spec</t>
  </si>
  <si>
    <t>BRAIDWOOD Spec</t>
  </si>
  <si>
    <t>CHERRY OAK Spec</t>
  </si>
  <si>
    <t>CITY OF BIRMINGHAM SCHOOL</t>
  </si>
  <si>
    <t>DAME ELLEN PINSENT Spec</t>
  </si>
  <si>
    <t>FOX HOLLIES Spec</t>
  </si>
  <si>
    <t>HAMILTON Spec</t>
  </si>
  <si>
    <t>HUNTERS HILL Spec</t>
  </si>
  <si>
    <t>LANGLEY Spec</t>
  </si>
  <si>
    <t>LINDSWORTH Spec</t>
  </si>
  <si>
    <t>LONGWILL Spec</t>
  </si>
  <si>
    <t>MAYFIELD Spec</t>
  </si>
  <si>
    <t>OSCOTT MANOR Spec</t>
  </si>
  <si>
    <t>PINES Spec</t>
  </si>
  <si>
    <t>PRIESTLEY SMITH Spec</t>
  </si>
  <si>
    <t>SELLY OAK Spec</t>
  </si>
  <si>
    <t>SKILTS Spec</t>
  </si>
  <si>
    <t>SPRINGFIELD HOUSE Spec</t>
  </si>
  <si>
    <t>UFFCULME Spec</t>
  </si>
  <si>
    <t>Nurs</t>
  </si>
  <si>
    <t>Pri</t>
  </si>
  <si>
    <t>Sec</t>
  </si>
  <si>
    <t>Spec</t>
  </si>
  <si>
    <t>ACAD</t>
  </si>
  <si>
    <t>Covid Premises</t>
  </si>
  <si>
    <t>Covid FSM</t>
  </si>
  <si>
    <t>Covid Cleaning</t>
  </si>
  <si>
    <t>COVID haf</t>
  </si>
  <si>
    <t xml:space="preserve">Covid Catch Up </t>
  </si>
  <si>
    <t>Covid Testing Funding</t>
  </si>
  <si>
    <t xml:space="preserve">NTP Mentors Grant </t>
  </si>
  <si>
    <t xml:space="preserve">2 - Interest is calculated at 0.0007 % on balances </t>
  </si>
  <si>
    <t xml:space="preserve">Please Enter/Pick Your DFE Number Here </t>
  </si>
  <si>
    <t>Schl Budget Share Notification'!A1</t>
  </si>
  <si>
    <t xml:space="preserve">Notification Of School Budget Share Carry Forward Balances </t>
  </si>
  <si>
    <t>Notification of Devolved Capital Carry Forward Balance</t>
  </si>
  <si>
    <t>1 - Actual Spend is that recorded on the LA's General Ledger System against your Schools Fund Centre</t>
  </si>
  <si>
    <t>and includes:</t>
  </si>
  <si>
    <r>
      <t xml:space="preserve">* All Expenditure coded to Fund Element </t>
    </r>
    <r>
      <rPr>
        <b/>
        <sz val="10"/>
        <color indexed="10"/>
        <rFont val="Arial"/>
        <family val="2"/>
      </rPr>
      <t xml:space="preserve">J760 </t>
    </r>
    <r>
      <rPr>
        <b/>
        <sz val="10"/>
        <color indexed="8"/>
        <rFont val="Arial"/>
        <family val="2"/>
      </rPr>
      <t>Fund Code</t>
    </r>
    <r>
      <rPr>
        <b/>
        <sz val="10"/>
        <color indexed="10"/>
        <rFont val="Arial"/>
        <family val="2"/>
      </rPr>
      <t xml:space="preserve"> A6G</t>
    </r>
    <r>
      <rPr>
        <b/>
        <sz val="10"/>
        <rFont val="Arial"/>
        <family val="2"/>
      </rPr>
      <t>.</t>
    </r>
  </si>
  <si>
    <t>DC Carry Forward Notification'!A1</t>
  </si>
  <si>
    <t>Direct CP1 payments (see P9 recon)</t>
  </si>
  <si>
    <t>Agrees credits Voyager (06/01/21)</t>
  </si>
  <si>
    <t>GRANT INC 17/18</t>
  </si>
  <si>
    <t>TOTAL EFA FUNDING 20/21</t>
  </si>
  <si>
    <t>Lozells</t>
  </si>
  <si>
    <t>Holte</t>
  </si>
  <si>
    <t>Mayfield</t>
  </si>
  <si>
    <t>BSF - TO BE WITHHELD</t>
  </si>
  <si>
    <t>Total Spend</t>
  </si>
  <si>
    <t>BSF</t>
  </si>
  <si>
    <t>Overall</t>
  </si>
  <si>
    <t>Sub total</t>
  </si>
  <si>
    <t>VICTORIA</t>
  </si>
  <si>
    <t>UFFCULME</t>
  </si>
  <si>
    <t>SPRINGFIELD HOUSE</t>
  </si>
  <si>
    <t>SKILTS</t>
  </si>
  <si>
    <t>SELLY OAK TRUST SCHOOL</t>
  </si>
  <si>
    <t>QUEENSBURY</t>
  </si>
  <si>
    <t>PRIESTLEY SMITH</t>
  </si>
  <si>
    <t>PINES</t>
  </si>
  <si>
    <t>OSCOTT MANOR</t>
  </si>
  <si>
    <t>LONGWILL</t>
  </si>
  <si>
    <t>LINDSWORTH</t>
  </si>
  <si>
    <t>LANGLEY</t>
  </si>
  <si>
    <t>HUNTERS HILL</t>
  </si>
  <si>
    <t>HAMILTON</t>
  </si>
  <si>
    <t>FOX HOLLIES</t>
  </si>
  <si>
    <t>DAME ELLEN PINSENT</t>
  </si>
  <si>
    <t>CHERRY OAK</t>
  </si>
  <si>
    <t>BRAIDWOOD</t>
  </si>
  <si>
    <t>BEAUFORT</t>
  </si>
  <si>
    <t>BASKERVILLE</t>
  </si>
  <si>
    <t>SWANSHURST</t>
  </si>
  <si>
    <t>KINGS NORTON BOYS</t>
  </si>
  <si>
    <t>JOHN WILLMOTT ACADEMY</t>
  </si>
  <si>
    <t>REAVN</t>
  </si>
  <si>
    <t>WHEELERS LANE SEC</t>
  </si>
  <si>
    <t>TURVES GREEN GIRLS</t>
  </si>
  <si>
    <t>TURVES GREEN BOYS</t>
  </si>
  <si>
    <t>SELLY PARK TECH COLLEGE FOR GIRLS</t>
  </si>
  <si>
    <t>QUEENSBRIDGE</t>
  </si>
  <si>
    <t>MOSELEY</t>
  </si>
  <si>
    <t>KINGS HEATH SEC</t>
  </si>
  <si>
    <t>HODGE HILL GIRLS</t>
  </si>
  <si>
    <t>HODGE HILL</t>
  </si>
  <si>
    <t>BALAAM WOOD</t>
  </si>
  <si>
    <t>REATX</t>
  </si>
  <si>
    <t>COLMERS SEC</t>
  </si>
  <si>
    <t>COBS - City of Bham School</t>
  </si>
  <si>
    <t>BORDESLEY GREEN GIRLS</t>
  </si>
  <si>
    <t>WEST HEATH NSY</t>
  </si>
  <si>
    <t>WEOLEY CASTLE NSY</t>
  </si>
  <si>
    <t>WASHWOOD HEATH NSY</t>
  </si>
  <si>
    <t>ST THOMAS NSY</t>
  </si>
  <si>
    <t>SHENLEY FIELDS NSY</t>
  </si>
  <si>
    <t>SELLY OAK NSY</t>
  </si>
  <si>
    <t>RUBERY NSY</t>
  </si>
  <si>
    <t>PERRY BEECHES NSY</t>
  </si>
  <si>
    <t>OSBORNE NSY</t>
  </si>
  <si>
    <t>NEWTOWN NSY</t>
  </si>
  <si>
    <t>MARSH HILL NSY</t>
  </si>
  <si>
    <t>LILLIAN DE LISSA NSY</t>
  </si>
  <si>
    <t>KINGS NORTON NSY</t>
  </si>
  <si>
    <t>JAKEMAN NSY</t>
  </si>
  <si>
    <t>HIGHTERS HEATH NSY</t>
  </si>
  <si>
    <t>HIGHFIELD NSY</t>
  </si>
  <si>
    <t>GRACELANDS NSY</t>
  </si>
  <si>
    <t>GOODWAY NSY</t>
  </si>
  <si>
    <t>GARRETTS GREEN NSY</t>
  </si>
  <si>
    <t>FEATHERSTONE NSY</t>
  </si>
  <si>
    <t>DAME EDITH CADBURY NSY</t>
  </si>
  <si>
    <t>CASTLE VALE NSY</t>
  </si>
  <si>
    <t>BREARLEY ST NSY</t>
  </si>
  <si>
    <t>BORDESLEY GREEN NSY</t>
  </si>
  <si>
    <t>BLOOMSBURY NSY</t>
  </si>
  <si>
    <t>ALLENS CROFT NSY</t>
  </si>
  <si>
    <t>ADDERLEY NSY</t>
  </si>
  <si>
    <t>YORKMEAD</t>
  </si>
  <si>
    <t>YENTON</t>
  </si>
  <si>
    <t>REARW</t>
  </si>
  <si>
    <t>YARDLEY WOOD</t>
  </si>
  <si>
    <t>YARDLEY</t>
  </si>
  <si>
    <t>WYLDE GREEN</t>
  </si>
  <si>
    <t>WORLDS END J</t>
  </si>
  <si>
    <t>WORLDS END I</t>
  </si>
  <si>
    <t>WOODTHORPE</t>
  </si>
  <si>
    <t>WOODGATE</t>
  </si>
  <si>
    <t>WOODCOCK HILL</t>
  </si>
  <si>
    <t>WILLIAM MURDOCH PRIMARY</t>
  </si>
  <si>
    <t>WILKES GREEN I</t>
  </si>
  <si>
    <t>REAQC</t>
  </si>
  <si>
    <t>WHITEHOUSE COMMON</t>
  </si>
  <si>
    <t>WHEELERS LANE</t>
  </si>
  <si>
    <t>WEST HEATH</t>
  </si>
  <si>
    <t>WELSH HOUSE FARM</t>
  </si>
  <si>
    <t>WELFORD</t>
  </si>
  <si>
    <t>WATTVILLE</t>
  </si>
  <si>
    <t>WATERMILL</t>
  </si>
  <si>
    <t>WARD END</t>
  </si>
  <si>
    <t>WALMLEY J</t>
  </si>
  <si>
    <t>WALMLEY I</t>
  </si>
  <si>
    <t>THORNTON J</t>
  </si>
  <si>
    <t>SUNDRIDGE</t>
  </si>
  <si>
    <t>SUMMERFIELD</t>
  </si>
  <si>
    <t>STECHFORD</t>
  </si>
  <si>
    <t>STARBANK</t>
  </si>
  <si>
    <t>STANVILLE</t>
  </si>
  <si>
    <t>ST SAVIOUR'S CE</t>
  </si>
  <si>
    <t>ST PETER'S CE</t>
  </si>
  <si>
    <t>ST MATTHEW'S CE</t>
  </si>
  <si>
    <t>ST MARY'S CE (B29)</t>
  </si>
  <si>
    <t>ST JAMES CE</t>
  </si>
  <si>
    <t>ST BENEDICT'S I</t>
  </si>
  <si>
    <t>SOMERVILLE</t>
  </si>
  <si>
    <t>SLADEFIELD I</t>
  </si>
  <si>
    <t>SHAW HILL</t>
  </si>
  <si>
    <t>SEVERNE</t>
  </si>
  <si>
    <t>REGENTS PARK</t>
  </si>
  <si>
    <t>REDNAL HILL J</t>
  </si>
  <si>
    <t>REDNAL HILL I</t>
  </si>
  <si>
    <t>REDHILL</t>
  </si>
  <si>
    <t>RADDLEBARN</t>
  </si>
  <si>
    <t>STORYWOOD</t>
  </si>
  <si>
    <t>PENNS</t>
  </si>
  <si>
    <t>PARK HILL</t>
  </si>
  <si>
    <t>PAGET</t>
  </si>
  <si>
    <t>PAGANEL</t>
  </si>
  <si>
    <t>OSBORNE</t>
  </si>
  <si>
    <t>OAKS, THE</t>
  </si>
  <si>
    <t>NEW OSCOTT</t>
  </si>
  <si>
    <t>NEW HALL</t>
  </si>
  <si>
    <t>NELSON MANDELA</t>
  </si>
  <si>
    <t>NELSON</t>
  </si>
  <si>
    <t>MOOR HALL</t>
  </si>
  <si>
    <t>MINWORTH</t>
  </si>
  <si>
    <t>MEADOWS</t>
  </si>
  <si>
    <t>MARSH HILL JI</t>
  </si>
  <si>
    <t>MAPLEDENE</t>
  </si>
  <si>
    <t>MANEY HILL</t>
  </si>
  <si>
    <t>LYNDON GREEN J</t>
  </si>
  <si>
    <t>LYNDON GREEN I</t>
  </si>
  <si>
    <t>LITTLE SUTTON</t>
  </si>
  <si>
    <t>LAKEY LANE</t>
  </si>
  <si>
    <t>LADYPOOL</t>
  </si>
  <si>
    <t>KITWELL</t>
  </si>
  <si>
    <t>KINGSTHORNE</t>
  </si>
  <si>
    <t>KINGSLAND</t>
  </si>
  <si>
    <t>KINGS NORTON</t>
  </si>
  <si>
    <t>KINGS HEATH</t>
  </si>
  <si>
    <t>JAMES WATT</t>
  </si>
  <si>
    <t>HOLLYWOOD</t>
  </si>
  <si>
    <t>HOLLYFIELD</t>
  </si>
  <si>
    <t>HOLLAND HOUSE I</t>
  </si>
  <si>
    <t>HIGHTERS HEATH</t>
  </si>
  <si>
    <t>HEATHMOUNT</t>
  </si>
  <si>
    <t>HAWTHORN</t>
  </si>
  <si>
    <t>HARBORNE</t>
  </si>
  <si>
    <t>HALL GREEN J</t>
  </si>
  <si>
    <t>HALL GREEN I</t>
  </si>
  <si>
    <t>GUNTER</t>
  </si>
  <si>
    <t>GROVE</t>
  </si>
  <si>
    <t>GRENDON</t>
  </si>
  <si>
    <t>GLENMEAD</t>
  </si>
  <si>
    <t>GILBERTSTONE</t>
  </si>
  <si>
    <t>GEORGE DIXON JI</t>
  </si>
  <si>
    <t>FOUR OAKS</t>
  </si>
  <si>
    <t>FORESTDALE</t>
  </si>
  <si>
    <t>FEATHERSTONE</t>
  </si>
  <si>
    <t>ELMS FARM</t>
  </si>
  <si>
    <t>DEYKIN AVENUE</t>
  </si>
  <si>
    <t>COURT FARM</t>
  </si>
  <si>
    <t>COTTERIDGE</t>
  </si>
  <si>
    <t>COPPICE</t>
  </si>
  <si>
    <t>COLMORE J</t>
  </si>
  <si>
    <t>COLMORE I</t>
  </si>
  <si>
    <t>COLMERS FARM J &amp; 1</t>
  </si>
  <si>
    <t>REACT</t>
  </si>
  <si>
    <t>COLEBOURNE</t>
  </si>
  <si>
    <t>COFTON</t>
  </si>
  <si>
    <t>CLIFTON</t>
  </si>
  <si>
    <t>CHRISTCHURCH CE</t>
  </si>
  <si>
    <t>CHILCOTE</t>
  </si>
  <si>
    <t>CHERRY ORCHARD</t>
  </si>
  <si>
    <t>CHAD VALE</t>
  </si>
  <si>
    <t>CALSHOT</t>
  </si>
  <si>
    <t>BROADMEADOW J</t>
  </si>
  <si>
    <t>BROADMEADOW I</t>
  </si>
  <si>
    <t>BORDESLEY GREEN</t>
  </si>
  <si>
    <t>BOLDMERE J</t>
  </si>
  <si>
    <t>BOLDMERE I</t>
  </si>
  <si>
    <t>BLAKESLEY HALL</t>
  </si>
  <si>
    <t>BIRCHES GREEN J</t>
  </si>
  <si>
    <t>BIRCHES GREEN I</t>
  </si>
  <si>
    <t>BENSON</t>
  </si>
  <si>
    <t>BELLS FARM</t>
  </si>
  <si>
    <t>BELLFIELD J</t>
  </si>
  <si>
    <t>BELLFIELD I</t>
  </si>
  <si>
    <t>BEECHES J</t>
  </si>
  <si>
    <t>BEECHES I</t>
  </si>
  <si>
    <t>BARFORD</t>
  </si>
  <si>
    <t>BANNERS GATE</t>
  </si>
  <si>
    <t>REAAV</t>
  </si>
  <si>
    <t>ARDEN</t>
  </si>
  <si>
    <t>ANGLESEY</t>
  </si>
  <si>
    <t>ANDERTON PARK</t>
  </si>
  <si>
    <t>ALLENS CROFT</t>
  </si>
  <si>
    <t>Cheque Book Schools</t>
  </si>
  <si>
    <t>ADDERLEY</t>
  </si>
  <si>
    <t>Building</t>
  </si>
  <si>
    <t>21/22 Spend</t>
  </si>
  <si>
    <t>Total available to Spend</t>
  </si>
  <si>
    <t>21'22 New Allocation</t>
  </si>
  <si>
    <t>Carry Forward Balance 20/21</t>
  </si>
  <si>
    <t>2020/21 Spend</t>
  </si>
  <si>
    <t xml:space="preserve"> 20/21 Funding</t>
  </si>
  <si>
    <t>Carry Forward Balance 19/20</t>
  </si>
  <si>
    <t>Spend to date</t>
  </si>
  <si>
    <t>19/20 Funding</t>
  </si>
  <si>
    <t>18/19 Carry forward Balance</t>
  </si>
  <si>
    <t>Spend 18/19</t>
  </si>
  <si>
    <t>TOTAL TO SPEND 18/19</t>
  </si>
  <si>
    <t>Additional Allocations</t>
  </si>
  <si>
    <t>18/19 ALLOCATION</t>
  </si>
  <si>
    <t>Carry Forward 18/19</t>
  </si>
  <si>
    <t>SPEND 1718</t>
  </si>
  <si>
    <t>TOTAL TO SPEND 1718</t>
  </si>
  <si>
    <t>1718 ALLOCATION</t>
  </si>
  <si>
    <t>C/F 1718</t>
  </si>
  <si>
    <t>School</t>
  </si>
  <si>
    <t>Cost centre</t>
  </si>
  <si>
    <t>3 - Allocations must be spent in full within 3 Financial Years.</t>
  </si>
  <si>
    <t xml:space="preserve">    System to reflect the Carry Forward allocations that are above and ensure that the total is the figure being used for Budgeting purposes.</t>
  </si>
  <si>
    <t>A</t>
  </si>
  <si>
    <t>Analysis Required of Surplus Balance</t>
  </si>
  <si>
    <t>B</t>
  </si>
  <si>
    <t>Permitted Use of Balances in Future Years</t>
  </si>
  <si>
    <t>1 - Prior Year Commitments</t>
  </si>
  <si>
    <t>Sub Total</t>
  </si>
  <si>
    <t>2 - Income</t>
  </si>
  <si>
    <t>Sponsorship (please specify):</t>
  </si>
  <si>
    <t>Donations (please specify):</t>
  </si>
  <si>
    <t>3 - Commitments of a Capital Nature</t>
  </si>
  <si>
    <t>Start Date</t>
  </si>
  <si>
    <t>Building Works (please specify):</t>
  </si>
  <si>
    <t>(Enter as **/**/**)</t>
  </si>
  <si>
    <t>Refurbishment Works (please specify):</t>
  </si>
  <si>
    <t>IT (please specify):</t>
  </si>
  <si>
    <t>4 - Commitments of a Revenue Nature</t>
  </si>
  <si>
    <t>Completed By</t>
  </si>
  <si>
    <t>School Improvement Plan Priorities (please specify):</t>
  </si>
  <si>
    <t>Other Planned Priorities:</t>
  </si>
  <si>
    <t>5 - Changes in Demography (Revenue)</t>
  </si>
  <si>
    <t>Reductions in Pupil Numbers and Falling Rolls:</t>
  </si>
  <si>
    <t>Financing of Place Reductions:</t>
  </si>
  <si>
    <t>6 - Funds held by School - Network Consortium Arrangements</t>
  </si>
  <si>
    <t>Analysis Summary</t>
  </si>
  <si>
    <t>Surplus Balance of</t>
  </si>
  <si>
    <t xml:space="preserve">2 - Income Generated By Schools </t>
  </si>
  <si>
    <t>Committed Use of Balances in Future Years</t>
  </si>
  <si>
    <t>(Sum of 1+2+3+4+5+6+7)</t>
  </si>
  <si>
    <t>C</t>
  </si>
  <si>
    <t>Remaining Uncommitted Balance OF</t>
  </si>
  <si>
    <t>(A) Surplus Balance Less (B) Permitted Use of Balances in Future Years</t>
  </si>
  <si>
    <t xml:space="preserve">1. Prior Year Commitments </t>
  </si>
  <si>
    <t>4606-CFBAL1314</t>
  </si>
  <si>
    <t>General Notes regarding completion of Surplus Balance Return:</t>
  </si>
  <si>
    <t>*</t>
  </si>
  <si>
    <t>The return is split into seven categories which represent the permissible reasons for holding a balance. Anything not falling into one of these categories will be treated as an uncommitted balance.</t>
  </si>
  <si>
    <t>Narrative must be meaningful.</t>
  </si>
  <si>
    <t>Further notes to help completion of the return are provided below in each of the sections, with worked examples also provided for each category as a guide.</t>
  </si>
  <si>
    <t>REXXX</t>
  </si>
  <si>
    <t xml:space="preserve">4 - Commitments of a Revenue Nature </t>
  </si>
  <si>
    <t>Other Planned Priorities (please specify):</t>
  </si>
  <si>
    <t>Loss of 30 Pupils (2 to 1 Form of Entry) - Maintain Current Staffing Numbers Until Costs Can Be Reduced By Natural Wastage.</t>
  </si>
  <si>
    <t>Loss of Band 3 Level 2 Places - Maintain Current Staffing Numbers Until Costs Can Be Reduced By Natural Wastage.</t>
  </si>
  <si>
    <t>6 - Funds Held by School - Network Consortium Arrangements</t>
  </si>
  <si>
    <t>xxxxs Consortium Funds Unspent as recorded on Cost Centre xxxxx on Schools Financial System.</t>
  </si>
  <si>
    <t xml:space="preserve">1 - Prior Year Commitments </t>
  </si>
  <si>
    <t>2 - Income Generated By Schools (Revenue)</t>
  </si>
  <si>
    <t>3 - Commitments of a Capital Nature (only Schemes that are already planned and costed with estimated start dates provided)</t>
  </si>
  <si>
    <t>6 - Funds held by School  - Network Consortium Arrangements</t>
  </si>
  <si>
    <t xml:space="preserve">Remaining Uncommitted Balance </t>
  </si>
  <si>
    <t>If sections are not applicable to you, please leave blank</t>
  </si>
  <si>
    <t xml:space="preserve">For every box of narrative that is completed, you must enter an amount in the relevant box next to it (and in the case of Sections 3 &amp; 4, a relevant date must also be provided). </t>
  </si>
  <si>
    <t xml:space="preserve">Once completed please save a copy of your finished return and send back to the Fair funding Mailbox </t>
  </si>
  <si>
    <t xml:space="preserve">****** Primary School </t>
  </si>
  <si>
    <t xml:space="preserve">Surplus Balance Analysis </t>
  </si>
  <si>
    <t xml:space="preserve">Surplus Balance Guidance Notes </t>
  </si>
  <si>
    <t>Surplus Balance Analysis '!A1</t>
  </si>
  <si>
    <t>Surplus Balance Guidance Notes'!A1</t>
  </si>
  <si>
    <t>Similarly, the number of boxes provided should be enough to enable you to fully list all of your plans. However, if you run out of boxes, please consolidate the smaller amounts into the last box of the section.</t>
  </si>
  <si>
    <t xml:space="preserve">Amounts cannot be less than £1,000 as anything smaller than this is deemed immaterial. If you have several small amounts that together total more than £1,000, they can be summarised on one line. </t>
  </si>
  <si>
    <r>
      <t xml:space="preserve">Note: Include here income generated for a specific purpose but that has yet to be committed. </t>
    </r>
    <r>
      <rPr>
        <u/>
        <sz val="10"/>
        <rFont val="Arial Black"/>
        <family val="2"/>
      </rPr>
      <t>Do not</t>
    </r>
    <r>
      <rPr>
        <sz val="10"/>
        <rFont val="Arial Black"/>
        <family val="2"/>
      </rPr>
      <t xml:space="preserve"> include here general income items </t>
    </r>
  </si>
  <si>
    <t>Examples are as follows:</t>
  </si>
  <si>
    <t xml:space="preserve">such as Breakfast Club income, PA donations etc. as this income has no restrictions on how it can be spent. (If a PA donation has been given to </t>
  </si>
  <si>
    <t xml:space="preserve">fund, say for example playground improvements/equipment, then this should be shown as earmarked under either Section 3 or Section 4). </t>
  </si>
  <si>
    <t xml:space="preserve"> (only detail Schemes that are already planned and costed - estimated start dates must also be provided)</t>
  </si>
  <si>
    <t xml:space="preserve">3 - Commitments of a Capital Nature </t>
  </si>
  <si>
    <t xml:space="preserve"> Examples are as follows:</t>
  </si>
  <si>
    <t xml:space="preserve">Note: Include here details of works of a capital nature that have been planned and costed. </t>
  </si>
  <si>
    <t xml:space="preserve">The Start Date should be from 01/04/21 to 31/03/22.  </t>
  </si>
  <si>
    <t xml:space="preserve">Please be specific about planned work (e.g. "classroom refurbishment" is not enough detail whereas "refurbishment of ground floor reception classes" is). </t>
  </si>
  <si>
    <t xml:space="preserve">Do not include contingencies for "long term sickness" or "unforeseen eventualities" as these should form part of the 5 &amp; 8% allowable limit for unearmarked balances </t>
  </si>
  <si>
    <t xml:space="preserve">(i.e. if no sickness occurs, this money will remain unspent and so cannot be deemed to be earmarked if it is not spent)  </t>
  </si>
  <si>
    <t>associated costs. Details should be provided of the expected reduced number of pupils/places and the intended use of this reserve. Examples are as follows:</t>
  </si>
  <si>
    <t xml:space="preserve">Note: Include here balances required to meet ongoing costs that are (or will) no longer be funded through delegated budgets due to reductions in pupil numbers </t>
  </si>
  <si>
    <t xml:space="preserve">or in the case of Special schools (&amp; units) place reductions. This should be a short term provision to cover the time delay between loss of funding and reduction in </t>
  </si>
  <si>
    <t>Example is as follows:</t>
  </si>
  <si>
    <t>Note: Please be specific and detail the Cost Centre these funds are recorded on as per the Schools Financial System.</t>
  </si>
  <si>
    <t xml:space="preserve">Note: Please be specific and detail the how this has been committed. </t>
  </si>
  <si>
    <t>Please direct any queries to the following email addresses:</t>
  </si>
  <si>
    <t>fairfunding@birmingham.gov.uk</t>
  </si>
  <si>
    <t>Devolved Capital Balance</t>
  </si>
  <si>
    <t>Lana.Forrester@birmingham.gov.uk</t>
  </si>
  <si>
    <t>Guidance notes on completing the form are below :</t>
  </si>
  <si>
    <t>Please click on which Notification you would like to see :</t>
  </si>
  <si>
    <t xml:space="preserve">Deficit Balances </t>
  </si>
  <si>
    <t>SBS Carry Forward Balances &amp; Surplus Balance Analysis</t>
  </si>
  <si>
    <t>Schools with Surplus Balances only need to complete the form below and submit back to the FairFunding Mailbox</t>
  </si>
  <si>
    <t>liz.blackburn@birmingham.gov.uk</t>
  </si>
  <si>
    <t>Welcome to the 2021/22 School Carry Forward Information</t>
  </si>
  <si>
    <t>Notification of School Budget Share Carry Forward Balance as at 31 March 2022</t>
  </si>
  <si>
    <t>Balance Brought Forward at 1st April 2021</t>
  </si>
  <si>
    <t>Total Available Resources for 2021/22</t>
  </si>
  <si>
    <t>Interest on Balance B/Fwd at 1st April 2021 Unspent at 31st March 2022</t>
  </si>
  <si>
    <t>Total Carry Forward Balance as at 31 March 2022</t>
  </si>
  <si>
    <t>Notification of Devolved Capital Carry Forward Balance as at 31 March 2022</t>
  </si>
  <si>
    <t>2 - No adjustments can now be made to the Ledger for 2021/22.  Please adjust the allocations you have added to your Financial Management</t>
  </si>
  <si>
    <t>4 - Negative Carry Forward Balances indicate an overspend of grant allocation in Financial Year 2021/22.</t>
  </si>
  <si>
    <t>7 - Unspent 2021/22 Pupil Premium Grant</t>
  </si>
  <si>
    <t>Analysis of School Budget Share - Carry Forward Balance as at 31st March 2022</t>
  </si>
  <si>
    <t>Note: Include here revenue commitments that are planned for 2022/23, split between School Improvement Plan and Other priorities.</t>
  </si>
  <si>
    <t>7 - Unpsent 2021/22 Pupil Premium Grant</t>
  </si>
  <si>
    <t>Summerfield Junior and Infant School</t>
  </si>
  <si>
    <t>Kings Norton Junior and Infant School</t>
  </si>
  <si>
    <t>St Benedicts</t>
  </si>
  <si>
    <t>Kitwell Primary School</t>
  </si>
  <si>
    <t>Our Lady of Lourdes Catholic Primary School</t>
  </si>
  <si>
    <t>St Margaret Mary RC Junior and Infant School</t>
  </si>
  <si>
    <t>St Gerard's RC Junior and Infant School</t>
  </si>
  <si>
    <t>St Cuthbert's RC Junior and Infant (NC) School</t>
  </si>
  <si>
    <t>St John and Monica Catholic Primary School</t>
  </si>
  <si>
    <t>Harper Bell Seventh-day Adventist School</t>
  </si>
  <si>
    <t>Selly Park  Girls' School</t>
  </si>
  <si>
    <t>Prince Albert Junior and Infant School</t>
  </si>
  <si>
    <t>Acocks Green Primary School</t>
  </si>
  <si>
    <t>Nishkam Primary School Birmingham</t>
  </si>
  <si>
    <t>Erdington Hall Primary School</t>
  </si>
  <si>
    <t>Slade Primary School</t>
  </si>
  <si>
    <t>Nansen Primary School</t>
  </si>
  <si>
    <t>Canterbury Cross Primary School</t>
  </si>
  <si>
    <t>Chilwell Croft Academy</t>
  </si>
  <si>
    <t>Nechells Primary E-ACT Academy</t>
  </si>
  <si>
    <t>Colmers Farm Primary School</t>
  </si>
  <si>
    <t>Ark Tindal Primary Academy</t>
  </si>
  <si>
    <t>Percy Shurmer Academy</t>
  </si>
  <si>
    <t>The Shirestone Academy</t>
  </si>
  <si>
    <t>St Clement's Church of England Academy</t>
  </si>
  <si>
    <t>Cromwell Junior and Infant School</t>
  </si>
  <si>
    <t>St Michael's CofE Primary Academy, Handsworth</t>
  </si>
  <si>
    <t>The Oaklands Primary School</t>
  </si>
  <si>
    <t>Dorrington Academy</t>
  </si>
  <si>
    <t>Warren Farm Primary School</t>
  </si>
  <si>
    <t>Montgomery Primary Academy</t>
  </si>
  <si>
    <t>St John's &amp; St Peter's CofE Academy</t>
  </si>
  <si>
    <t>Billesley Primary School</t>
  </si>
  <si>
    <t>Kings Rise Academy</t>
  </si>
  <si>
    <t>Mansfield Green E-ACT Academy</t>
  </si>
  <si>
    <t>Moor Green Primary Academy</t>
  </si>
  <si>
    <t>Reaside Academy</t>
  </si>
  <si>
    <t>Conway Primary School</t>
  </si>
  <si>
    <t>Greenholm Primary School</t>
  </si>
  <si>
    <t>Greet Primary School</t>
  </si>
  <si>
    <t>Lea Forest Primary Academy</t>
  </si>
  <si>
    <t>Tame Valley Academy</t>
  </si>
  <si>
    <t>Merritts Brook Primary E-ACT Academy</t>
  </si>
  <si>
    <t>Oasis Academy Blakenhale Infants</t>
  </si>
  <si>
    <t>Oasis Academy Short Heath</t>
  </si>
  <si>
    <t>St George's Church of England Academy, Newtown</t>
  </si>
  <si>
    <t>Oasis Academy Woodview</t>
  </si>
  <si>
    <t>Oasis Academy Blakenhale Junior</t>
  </si>
  <si>
    <t>Four Dwellings Primary Academy</t>
  </si>
  <si>
    <t>Oasis Academy Hobmoor</t>
  </si>
  <si>
    <t>Jervoise School</t>
  </si>
  <si>
    <t>Oasis Academy Boulton</t>
  </si>
  <si>
    <t>St George's Church of England Primary School</t>
  </si>
  <si>
    <t>Hawkesley Church Primary Academy</t>
  </si>
  <si>
    <t>Yarnfield Primary School</t>
  </si>
  <si>
    <t>Tiverton Academy</t>
  </si>
  <si>
    <t>Marlborough Primary School</t>
  </si>
  <si>
    <t>Woodhouse Primary Academy</t>
  </si>
  <si>
    <t>Grestone Academy</t>
  </si>
  <si>
    <t>Chivenor Primary School</t>
  </si>
  <si>
    <t>Oasis Academy Foundry</t>
  </si>
  <si>
    <t>Alston Primary School</t>
  </si>
  <si>
    <t>Town Junior School</t>
  </si>
  <si>
    <t>Wyndcliffe Primary School</t>
  </si>
  <si>
    <t>Brownmead Primary Academy</t>
  </si>
  <si>
    <t>St Columba's Catholic Primary School</t>
  </si>
  <si>
    <t>Princethorpe Infant School</t>
  </si>
  <si>
    <t>St Joseph's Catholic Primary School</t>
  </si>
  <si>
    <t>Manor Park Primary Academy</t>
  </si>
  <si>
    <t>Highfield Junior and Infant School</t>
  </si>
  <si>
    <t>The Olive School, Birmingham</t>
  </si>
  <si>
    <t>Chandos Primary School</t>
  </si>
  <si>
    <t>Bordesley Village Primary School</t>
  </si>
  <si>
    <t>Turves Green Primary School</t>
  </si>
  <si>
    <t>Yew Tree Community Junior and Infant School (NC)</t>
  </si>
  <si>
    <t>Springfield Primary Academy</t>
  </si>
  <si>
    <t>Birchfield Primary School</t>
  </si>
  <si>
    <t>St Mary and St John Junior and Infant School</t>
  </si>
  <si>
    <t>Stirchley Primary School</t>
  </si>
  <si>
    <t>City Road Primary School</t>
  </si>
  <si>
    <t>Timberley Academy</t>
  </si>
  <si>
    <t>Brookfields Primary School</t>
  </si>
  <si>
    <t>Princethorpe Junior School</t>
  </si>
  <si>
    <t>Holy Souls Catholic Primary School</t>
  </si>
  <si>
    <t>St Thomas More Catholic Primary School</t>
  </si>
  <si>
    <t>Sacred Heart Catholic School</t>
  </si>
  <si>
    <t>Sutton Park Primary</t>
  </si>
  <si>
    <t>The Olive School, Small Heath</t>
  </si>
  <si>
    <t xml:space="preserve">Osborne Primary </t>
  </si>
  <si>
    <t>Cedars Academy</t>
  </si>
  <si>
    <t>The Orchards Primary Academy</t>
  </si>
  <si>
    <t>Northfield Manor Primary Academy</t>
  </si>
  <si>
    <t>Topcliffe Primary School</t>
  </si>
  <si>
    <t>Brookvale Primary School</t>
  </si>
  <si>
    <t>Cottesbrooke Infant and Nursery School</t>
  </si>
  <si>
    <t>Heathfield Primary School</t>
  </si>
  <si>
    <t>Fairway Primary Academy</t>
  </si>
  <si>
    <t>Nonsuch Primary School</t>
  </si>
  <si>
    <t>Hillstone Primary School</t>
  </si>
  <si>
    <t>Aston Tower Community Primary School</t>
  </si>
  <si>
    <t>The Oval School</t>
  </si>
  <si>
    <t>Gossey Lane Academy</t>
  </si>
  <si>
    <t>Twickenham Primary School</t>
  </si>
  <si>
    <t>Barr View Primary &amp; Nursery Academy</t>
  </si>
  <si>
    <t>Green Meadow Primary School</t>
  </si>
  <si>
    <t>Pegasus Primary Academy</t>
  </si>
  <si>
    <t>Leigh Primary School</t>
  </si>
  <si>
    <t>Heathlands Primary Academy</t>
  </si>
  <si>
    <t>Parkfield Community School</t>
  </si>
  <si>
    <t>Robin Hood Academy</t>
  </si>
  <si>
    <t>Mere Green Primary School</t>
  </si>
  <si>
    <t>Westminster Primary School</t>
  </si>
  <si>
    <t>Firs Primary School</t>
  </si>
  <si>
    <t>Wychall Primary School</t>
  </si>
  <si>
    <t>Rookery School</t>
  </si>
  <si>
    <t>Yenton Primary School</t>
  </si>
  <si>
    <t>Quinton Church Primary School</t>
  </si>
  <si>
    <t>St Marys C of E Primary and Nursery, Academy, Handsworth</t>
  </si>
  <si>
    <t>Saint Barnabas Church of England Primary School</t>
  </si>
  <si>
    <t>Holy Trinity CE Primary Academy (Handsworth)</t>
  </si>
  <si>
    <t>St John's CofE Primary School</t>
  </si>
  <si>
    <t>St Michael's Church of England Primary School</t>
  </si>
  <si>
    <t>St Thomas CofE Academy</t>
  </si>
  <si>
    <t>St Brigid's Catholic Primary School</t>
  </si>
  <si>
    <t>St James Catholic Primary School</t>
  </si>
  <si>
    <t>St John Fisher Catholic Primary School</t>
  </si>
  <si>
    <t>St Peter and St Paul RC Junior and Infant School</t>
  </si>
  <si>
    <t>St Paul's Catholic Primary School</t>
  </si>
  <si>
    <t>Our Lady of Fatima Catholic Primary School</t>
  </si>
  <si>
    <t>Holy Cross Catholic Primary School</t>
  </si>
  <si>
    <t>St Nicholas Catholic Primary School</t>
  </si>
  <si>
    <t>Audley Primary School</t>
  </si>
  <si>
    <t>Hill West Primary School</t>
  </si>
  <si>
    <t>Hodge Hill Primary School</t>
  </si>
  <si>
    <t>Albert Bradbeer Primary Academy</t>
  </si>
  <si>
    <t>The Deanery Church of England Primary School</t>
  </si>
  <si>
    <t>St Francis Church of England Aided Primary School and Nursery</t>
  </si>
  <si>
    <t>Erdington Academy</t>
  </si>
  <si>
    <t>Birmingham Ormiston Academy</t>
  </si>
  <si>
    <t>Aston University Engineering Academy</t>
  </si>
  <si>
    <t>Nishkam High School</t>
  </si>
  <si>
    <t>Four Dwellings Academy</t>
  </si>
  <si>
    <t>Greenwood Academy</t>
  </si>
  <si>
    <t>Waverley Studio College</t>
  </si>
  <si>
    <t>Hillcrest School and Sixth Form Centre</t>
  </si>
  <si>
    <t>Ark Boulton Academy</t>
  </si>
  <si>
    <t>The University of Birmingham School</t>
  </si>
  <si>
    <t>Jewellery Quarter Academy</t>
  </si>
  <si>
    <t>Saltley Academy</t>
  </si>
  <si>
    <t>Eden Boys' School, Birmingham</t>
  </si>
  <si>
    <t>Cockshut Hill School</t>
  </si>
  <si>
    <t>Tile Cross Academy</t>
  </si>
  <si>
    <t>Small Heath Leadership Academy</t>
  </si>
  <si>
    <t>Holy Trinity Catholic School</t>
  </si>
  <si>
    <t>John Willmott School</t>
  </si>
  <si>
    <t>Lordswood Boys' School</t>
  </si>
  <si>
    <t>Arena Academy</t>
  </si>
  <si>
    <t>Eden Boys' Leadership Academy, Birmingham East</t>
  </si>
  <si>
    <t>Eden Girls'  Leadership Academy, Birmingham</t>
  </si>
  <si>
    <t>King Edward VI Balaam Wood Academy</t>
  </si>
  <si>
    <t>City Academy</t>
  </si>
  <si>
    <t>Prince Albert High School</t>
  </si>
  <si>
    <t>Christ Church, Church of England Secondary Academy</t>
  </si>
  <si>
    <t>Lordswood Girls' School and Sixth Form Centre</t>
  </si>
  <si>
    <t>Bartley Green School</t>
  </si>
  <si>
    <t>Dame Elizabeth Cadbury School</t>
  </si>
  <si>
    <t>King Edward VI Northfield School for Girls</t>
  </si>
  <si>
    <t>Stockland Green School</t>
  </si>
  <si>
    <t>King Edward VI Handsworth Wood Girls' Academy</t>
  </si>
  <si>
    <t>Aston Manor Academy</t>
  </si>
  <si>
    <t>Broadway Academy</t>
  </si>
  <si>
    <t>Hamstead Hall Academy</t>
  </si>
  <si>
    <t>Holyhead School</t>
  </si>
  <si>
    <t>Yardleys School</t>
  </si>
  <si>
    <t>Sutton Coldfield Grammar School for Girls</t>
  </si>
  <si>
    <t>The Arthur Terry School</t>
  </si>
  <si>
    <t>Rockwood Academy</t>
  </si>
  <si>
    <t>Plantsbrook School</t>
  </si>
  <si>
    <t>St Thomas Aquinas Catholic School</t>
  </si>
  <si>
    <t>Bishop Vesey's Grammar School</t>
  </si>
  <si>
    <t>Bishop Walsh Catholic School</t>
  </si>
  <si>
    <t>St Edmund Campion Catholic School</t>
  </si>
  <si>
    <t>Archbishop Ilsley Catholic School</t>
  </si>
  <si>
    <t>King Edward VI Handsworth Grammar School for Boys</t>
  </si>
  <si>
    <t>Fortis Academy</t>
  </si>
  <si>
    <t>King Edward VI Handsworth School</t>
  </si>
  <si>
    <t>King Edward VI Five Ways School</t>
  </si>
  <si>
    <t>King Edward VI Camp Hill School for Girls</t>
  </si>
  <si>
    <t>King Edward VI Camp Hill School for Boys</t>
  </si>
  <si>
    <t>King Edward VI Aston School</t>
  </si>
  <si>
    <t>Hall Green School</t>
  </si>
  <si>
    <t>Fairfax</t>
  </si>
  <si>
    <t>Ninestiles, an Academy</t>
  </si>
  <si>
    <t>George Dixon Academy</t>
  </si>
  <si>
    <t>Kings Norton Girls' School</t>
  </si>
  <si>
    <t>Heartlands Academy</t>
  </si>
  <si>
    <t>King Edward VI Sheldon Heath Academy</t>
  </si>
  <si>
    <t>Shenley Academy</t>
  </si>
  <si>
    <t>Ark St Alban's Academy</t>
  </si>
  <si>
    <t>North Birmingham Academy</t>
  </si>
  <si>
    <t>Harborne Academy</t>
  </si>
  <si>
    <t>Ark Kings Academy</t>
  </si>
  <si>
    <t>Waverley School</t>
  </si>
  <si>
    <t>Bournville School</t>
  </si>
  <si>
    <t>Ark Victoria Academy</t>
  </si>
  <si>
    <t>King Solomon International Business School</t>
  </si>
  <si>
    <t>Starbank School</t>
  </si>
  <si>
    <t>Washwood Heath Academy</t>
  </si>
  <si>
    <t>BOA Digital</t>
  </si>
  <si>
    <t>DFE No</t>
  </si>
  <si>
    <t>2021/22 Carry Forward Balance Calculation</t>
  </si>
  <si>
    <t>formula link to webfile</t>
  </si>
  <si>
    <t>DELEGATED BUDGET 2021-22</t>
  </si>
  <si>
    <t>SCHOOL BUDGET SHARE ADDITIONS 2021-22</t>
  </si>
  <si>
    <t>ACTUAL EXPENDITURE 2021-22</t>
  </si>
  <si>
    <t>2021-22</t>
  </si>
  <si>
    <t xml:space="preserve">EYSS </t>
  </si>
  <si>
    <t>2020-21</t>
  </si>
  <si>
    <t>(incl EFA Grant)</t>
  </si>
  <si>
    <t>Actuals - incl A6G</t>
  </si>
  <si>
    <t xml:space="preserve">Actuals - A6G </t>
  </si>
  <si>
    <t>in year Academy</t>
  </si>
  <si>
    <t>Status (CH/NCB/Academy)</t>
  </si>
  <si>
    <t>NCB(Non-Cheque book incl EPA)</t>
  </si>
  <si>
    <t>CHB 21-22 @31Mar2022</t>
  </si>
  <si>
    <t>Acad</t>
  </si>
  <si>
    <t>Academy</t>
  </si>
  <si>
    <t>SBS Additions Register</t>
  </si>
  <si>
    <t>Nursery</t>
  </si>
  <si>
    <t>Primary</t>
  </si>
  <si>
    <t>Secondary</t>
  </si>
  <si>
    <t>Special</t>
  </si>
  <si>
    <t>Totals</t>
  </si>
  <si>
    <t>Academy in year convertors</t>
  </si>
  <si>
    <t>Maintained</t>
  </si>
  <si>
    <t>Primary Academies</t>
  </si>
  <si>
    <t>Secondary Academies</t>
  </si>
  <si>
    <t>Special Academies</t>
  </si>
  <si>
    <t>2018/19 Carry Forward Balance Calculation</t>
  </si>
  <si>
    <t>DELEGATED BUDGET 2018/19</t>
  </si>
  <si>
    <t>SCHOOL BUDGET SHARE ADDITIONS 2018/19</t>
  </si>
  <si>
    <t>ACTUAL EXPENDITURE 2018/19</t>
  </si>
  <si>
    <t>2018/19</t>
  </si>
  <si>
    <t>17/18</t>
  </si>
  <si>
    <t>2017/18</t>
  </si>
  <si>
    <t>Actuals - A00</t>
  </si>
  <si>
    <t>Actuals - A7J</t>
  </si>
  <si>
    <t xml:space="preserve">Note: </t>
  </si>
  <si>
    <t xml:space="preserve">Hunters Hill </t>
  </si>
  <si>
    <t>Removed from 21-22 due to conversion in 20-21:</t>
  </si>
  <si>
    <t>Error</t>
  </si>
  <si>
    <t>Queensbury School</t>
  </si>
  <si>
    <t xml:space="preserve">2021/22 SCHOOL BUDGET SHARE ADDITIONS </t>
  </si>
  <si>
    <t xml:space="preserve">Wasn’t in 5April workbook so need to adjust seperatly </t>
  </si>
  <si>
    <t>Xnotes: Growth &amp; Falling pupil</t>
  </si>
  <si>
    <t xml:space="preserve">Covid FSM </t>
  </si>
  <si>
    <t xml:space="preserve">Covid Cleaning </t>
  </si>
  <si>
    <t xml:space="preserve">Covid Mental Health Grant </t>
  </si>
  <si>
    <t>Covid JRS</t>
  </si>
  <si>
    <t xml:space="preserve">Covid Testing Grant </t>
  </si>
  <si>
    <t xml:space="preserve">Covid Workforce </t>
  </si>
  <si>
    <t xml:space="preserve">Recovery Premium </t>
  </si>
  <si>
    <t xml:space="preserve">School Led Tutoring </t>
  </si>
  <si>
    <t>National Testing Programme</t>
  </si>
  <si>
    <t xml:space="preserve">Cadet Expansion </t>
  </si>
  <si>
    <t>Total Of Grouping</t>
  </si>
  <si>
    <t>Difference of total</t>
  </si>
  <si>
    <t>Check total: Pupil Premium</t>
  </si>
  <si>
    <t>Check total: Resource Based</t>
  </si>
  <si>
    <t>0</t>
  </si>
  <si>
    <t>VICTORIA Spec</t>
  </si>
  <si>
    <t>DFE Allocation</t>
  </si>
  <si>
    <t>Formula can copy to other columns</t>
  </si>
  <si>
    <t>Moved £9461 Uffculme contingency to ESN</t>
  </si>
  <si>
    <t xml:space="preserve">Difference </t>
  </si>
  <si>
    <t>Reason</t>
  </si>
  <si>
    <t xml:space="preserve">Timing Diffrence </t>
  </si>
  <si>
    <t>Line ref</t>
  </si>
  <si>
    <t>Copy of value for total: check with above total when using formulas</t>
  </si>
  <si>
    <t>Total LA</t>
  </si>
  <si>
    <t>CB (LA)</t>
  </si>
  <si>
    <t>£64k for Uffculme+ some academies</t>
  </si>
  <si>
    <t>? What is £85,110? Total Sec is £278,289?</t>
  </si>
  <si>
    <t xml:space="preserve">A date in 2022/23 should be provided as an indication of when this earmarked balance will have been spent. </t>
  </si>
  <si>
    <t>Section 251 Formula School Budget Share 2021/22</t>
  </si>
  <si>
    <t>Total available to Spend 21/22</t>
  </si>
  <si>
    <t>Actuals 2021-22</t>
  </si>
  <si>
    <t>Carry Forward Balance 22/23</t>
  </si>
  <si>
    <t>22-23 New Allocation</t>
  </si>
  <si>
    <t xml:space="preserve">Note: important, don't double counting or missing funding </t>
  </si>
  <si>
    <t>High Needs top up final payment was entered in SBS register, whilst previous payments were part of monthly instalments</t>
  </si>
  <si>
    <t>adjustments done by: using Budget data for indicative, then don't need to adjust whole SBS, need to reconcile: column N in SBS + Indicative= final total top up outturn</t>
  </si>
  <si>
    <t>Indicative: can use instalment file or from individual web budget file</t>
  </si>
  <si>
    <t>Devolved Formula Capital Allocation 2022/23</t>
  </si>
  <si>
    <t>Devolved Capital Carry Forward Balance as at 31st March 2022</t>
  </si>
  <si>
    <t>Available Capital Resources in 2022/23</t>
  </si>
  <si>
    <t>Covid Catch Up etc.</t>
  </si>
  <si>
    <t xml:space="preserve">There might be errors in this file for some schools, we will issue revised version soon once we investigated further. Apologise for any inconvenience. </t>
  </si>
  <si>
    <t>cfrdatatableid</t>
  </si>
  <si>
    <t>NativeId</t>
  </si>
  <si>
    <t>cfrdataorderseqcolumn</t>
  </si>
  <si>
    <t>sourceid</t>
  </si>
  <si>
    <t>sourceschooltableid</t>
  </si>
  <si>
    <t>ob01openingpupilfocusedrevenuebalance</t>
  </si>
  <si>
    <t>ob02openingcommunityfocusedrevenuebalance</t>
  </si>
  <si>
    <t>ob03openingcapitalbalance</t>
  </si>
  <si>
    <t>i01la</t>
  </si>
  <si>
    <t>i02sixthform</t>
  </si>
  <si>
    <t>i03highneedstopup</t>
  </si>
  <si>
    <t>i04minorityethnic</t>
  </si>
  <si>
    <t>i05pupilpremium</t>
  </si>
  <si>
    <t>i06othergovgrants</t>
  </si>
  <si>
    <t>i07othergrants</t>
  </si>
  <si>
    <t>i08aincomefromlettingpremises</t>
  </si>
  <si>
    <t>i08botherincomefromfacilitiesandservices</t>
  </si>
  <si>
    <t>i09catering</t>
  </si>
  <si>
    <t>i10supplyinsurance</t>
  </si>
  <si>
    <t>i11otherinsurance</t>
  </si>
  <si>
    <t>i12contributions</t>
  </si>
  <si>
    <t>i13donations</t>
  </si>
  <si>
    <t>i14schoolstandardsgrant</t>
  </si>
  <si>
    <t>i15pupilfocusedextendedfunding</t>
  </si>
  <si>
    <t>i16communityfocusedfunding</t>
  </si>
  <si>
    <t>i17communityfocusedschoolfacilitiesincome</t>
  </si>
  <si>
    <t>i18acovidretentionscheme</t>
  </si>
  <si>
    <t>i18bcovidexceptionalcosts</t>
  </si>
  <si>
    <t>i18ccovidother</t>
  </si>
  <si>
    <t>i18dadditionalgrantschools</t>
  </si>
  <si>
    <t>e01teachingstaff</t>
  </si>
  <si>
    <t>e02supplystaff</t>
  </si>
  <si>
    <t>e03supportstaff</t>
  </si>
  <si>
    <t>e04premisesstaff</t>
  </si>
  <si>
    <t>e05adminstaff</t>
  </si>
  <si>
    <t>e06cateringstaff</t>
  </si>
  <si>
    <t>e07otherstaff</t>
  </si>
  <si>
    <t>e08indirectemployee</t>
  </si>
  <si>
    <t>e09staffdevelopment</t>
  </si>
  <si>
    <t>e10supplyinsurance</t>
  </si>
  <si>
    <t>e11staffinsurance</t>
  </si>
  <si>
    <t>e12buildings</t>
  </si>
  <si>
    <t>e13grounds</t>
  </si>
  <si>
    <t>e14cleaningcaretaking</t>
  </si>
  <si>
    <t>e15watersewerage</t>
  </si>
  <si>
    <t>e16energy</t>
  </si>
  <si>
    <t>e17rates</t>
  </si>
  <si>
    <t>e18otheroccupation</t>
  </si>
  <si>
    <t>e19learningresources</t>
  </si>
  <si>
    <t>e20ictlearningresources</t>
  </si>
  <si>
    <t>e21examinationfees</t>
  </si>
  <si>
    <t>e22administrativesupplies</t>
  </si>
  <si>
    <t>e23otherinsurance</t>
  </si>
  <si>
    <t>e24specialfacilities</t>
  </si>
  <si>
    <t>e25cateringsupplies</t>
  </si>
  <si>
    <t>e26agencysupplystaff</t>
  </si>
  <si>
    <t>e27curriculumservices</t>
  </si>
  <si>
    <t>e28aotherservicesexceptpfi</t>
  </si>
  <si>
    <t>e28botherservicespfi</t>
  </si>
  <si>
    <t>e29loaninterest</t>
  </si>
  <si>
    <t>e30directrevenuefinancing</t>
  </si>
  <si>
    <t>e31communityfocusedstaff</t>
  </si>
  <si>
    <t>e32communityfocusedschoolcosts</t>
  </si>
  <si>
    <t>ci01capitalincome</t>
  </si>
  <si>
    <t>ci03voluntaryincome</t>
  </si>
  <si>
    <t>ci04directrevenuefinancing</t>
  </si>
  <si>
    <t>deminimis</t>
  </si>
  <si>
    <t>ce01landbuildings</t>
  </si>
  <si>
    <t>ce02constructionconversion</t>
  </si>
  <si>
    <t>ce03equipment</t>
  </si>
  <si>
    <t>ce04ict</t>
  </si>
  <si>
    <t>b01committedrevenue</t>
  </si>
  <si>
    <t>b02uncommittedrevenue</t>
  </si>
  <si>
    <t>b03devolvedcapital</t>
  </si>
  <si>
    <t>b05othercapital</t>
  </si>
  <si>
    <t>b06communityfocused</t>
  </si>
  <si>
    <t>b07outstandingbalance</t>
  </si>
  <si>
    <t>incometotal</t>
  </si>
  <si>
    <t>expendituretotal</t>
  </si>
  <si>
    <t>capitalincometotal</t>
  </si>
  <si>
    <t>capitalexpendituretotal</t>
  </si>
  <si>
    <t>balancestotal</t>
  </si>
  <si>
    <t>c4519832-dd9f-4a04-9824-ad0e087ef5ee</t>
  </si>
  <si>
    <t>53a2fe40-dbc1-4c5a-b476-39bde9d9b028</t>
  </si>
  <si>
    <t>08c6eb9c-a047-4a72-b52e-cf471cf4d1e9</t>
  </si>
  <si>
    <t>f8db7c40-0b62-4fa7-b607-769c5a298c18</t>
  </si>
  <si>
    <t>1896db52-f7d5-43ce-aadd-9862d45a5e08</t>
  </si>
  <si>
    <t>f275ed41-c1a7-484b-a939-f93192a9e572</t>
  </si>
  <si>
    <t>85e8e922-c487-4bb0-97f1-037f08bbd267</t>
  </si>
  <si>
    <t>269dce48-ff07-4cc3-8173-b3ab3117263d</t>
  </si>
  <si>
    <t>07eb5e04-adc7-4422-b160-f76203875042</t>
  </si>
  <si>
    <t>be0c134f-886f-4c91-b532-fdf7ce1bf1a8</t>
  </si>
  <si>
    <t>fe955d80-35fe-4b52-98e0-e6ad654eecc8</t>
  </si>
  <si>
    <t>2e76f6e6-b949-40d1-bd8f-68edadbeb82d</t>
  </si>
  <si>
    <t>eee4fe73-32bc-4007-b475-0494836c3dff</t>
  </si>
  <si>
    <t>1ca1f286-88bf-45c0-a505-6e62efcf242b</t>
  </si>
  <si>
    <t>0deed99b-35ce-4eba-a1e8-09b802f97b0e</t>
  </si>
  <si>
    <t>327802d2-0ee2-4257-b5b3-2013cc25c806</t>
  </si>
  <si>
    <t>21aa56f8-43d4-4226-af97-0174380ecfb9</t>
  </si>
  <si>
    <t>59cce0fc-d989-4d5b-9020-ba2bb4cfd5ec</t>
  </si>
  <si>
    <t>223e716e-6408-4a55-b4f3-3cef0b2b18ef</t>
  </si>
  <si>
    <t>a1d97b05-05aa-40f0-990f-202c9290135c</t>
  </si>
  <si>
    <t>1675873e-55b8-470e-aa4f-b634f3eab9c6</t>
  </si>
  <si>
    <t>9adacf75-1552-4212-957f-daef678e640e</t>
  </si>
  <si>
    <t>0df825c0-6d8b-4eb8-ae09-98ba1c86408a</t>
  </si>
  <si>
    <t>632183be-0900-412f-9767-660b5ac710c3</t>
  </si>
  <si>
    <t>15a62a91-0f19-42cb-95d0-f0d532bc9ebc</t>
  </si>
  <si>
    <t>5ecb820c-5c10-4f1a-b238-319b28b61c5b</t>
  </si>
  <si>
    <t>b985ae37-e2af-49b1-b482-1f71dfa542b9</t>
  </si>
  <si>
    <t>d477482f-f936-427f-afff-0298807a7d1d</t>
  </si>
  <si>
    <t>c0818131-1a7b-4d0f-8cea-0f96faea922b</t>
  </si>
  <si>
    <t>80dd3a00-5c82-4b3a-b3b8-11ef6a943724</t>
  </si>
  <si>
    <t>b3ebfcd9-79b6-46d7-a22c-61710edbae66</t>
  </si>
  <si>
    <t>a8276fef-2f2b-4203-8bcc-73d5c6570123</t>
  </si>
  <si>
    <t>3ef4e09d-17c7-4229-b3d5-776628362053</t>
  </si>
  <si>
    <t>9bbad886-1522-4a0f-aaf1-b3c494bee28e</t>
  </si>
  <si>
    <t>4005b303-d0c9-4662-a6d3-3d3524e9efff</t>
  </si>
  <si>
    <t>7f81cacf-6f61-42d6-b90b-50bfc96200cc</t>
  </si>
  <si>
    <t>f0d41fd9-2e75-4485-899f-3059412deff8</t>
  </si>
  <si>
    <t>a3c0bfbe-0051-4511-b6e4-117c67f565f6</t>
  </si>
  <si>
    <t>fd7825c3-b7f4-4792-bd46-2a9bdac81640</t>
  </si>
  <si>
    <t>e08e3bd3-d672-40bb-8b64-b9afdbcc1310</t>
  </si>
  <si>
    <t>0a1783a8-c4f3-4c09-938a-1f076f6ccd33</t>
  </si>
  <si>
    <t>2eab9c7e-480a-42ca-9053-ee5fc7fd13ad</t>
  </si>
  <si>
    <t>07bb64b8-9f17-45d9-a06d-4826c1d4911e</t>
  </si>
  <si>
    <t>5e8302ac-674f-4870-bd07-ddf7a0322a91</t>
  </si>
  <si>
    <t>a78acd3a-85f9-49bc-b077-4342437dd41d</t>
  </si>
  <si>
    <t>7e634a55-0a97-4d06-9427-cfbe41ed426b</t>
  </si>
  <si>
    <t>76cd7515-0a45-47c8-ab86-6e2653583108</t>
  </si>
  <si>
    <t>7a83b765-098a-4db1-837d-a63d2829f0b3</t>
  </si>
  <si>
    <t>67319a9e-fef7-4e30-a0b1-3430ab7d5bae</t>
  </si>
  <si>
    <t>0fdc7a05-228e-445c-94cd-352a382c177e</t>
  </si>
  <si>
    <t>7d2ee5af-6182-44da-bc9c-b4938b0d071e</t>
  </si>
  <si>
    <t>22dc9cbf-3d3f-4ddd-a33f-6efb276c4756</t>
  </si>
  <si>
    <t>4e9c3367-421c-40a5-b6de-51228c347edf</t>
  </si>
  <si>
    <t>b598f3ce-e8b4-44ba-a51c-fa95542973a3</t>
  </si>
  <si>
    <t>7e264882-7a60-471b-8192-2e198c855d0e</t>
  </si>
  <si>
    <t>806e0f5f-041e-46f2-b172-13847512034e</t>
  </si>
  <si>
    <t>1c373923-d911-4995-a1b3-08f1dc38d987</t>
  </si>
  <si>
    <t>76bd9b96-0e74-4fac-abc2-fa39fc776780</t>
  </si>
  <si>
    <t>e52a16e2-b829-41e7-a5c6-997f16bb7131</t>
  </si>
  <si>
    <t>a6185ac7-a580-45b4-9d5e-aaebc6891776</t>
  </si>
  <si>
    <t>9b44640d-2560-4c75-9c44-b6f029a219f6</t>
  </si>
  <si>
    <t>a0629797-cf39-4e28-8d16-46aa12f7b2c8</t>
  </si>
  <si>
    <t>ae487cd3-c1ab-44b8-b99f-e3c52045c4a4</t>
  </si>
  <si>
    <t>d71a9ab7-d630-47e2-8a96-7c4d9dff15c7</t>
  </si>
  <si>
    <t>07353879-6a2e-447e-b8ad-950264b69aba</t>
  </si>
  <si>
    <t>f35e1d81-8432-4e72-978e-6ce1f6d00aef</t>
  </si>
  <si>
    <t>64edd9ef-a7b9-49e3-8fbc-aa4ac376b455</t>
  </si>
  <si>
    <t>a261b46d-0db1-4d14-a145-2bc760b744d1</t>
  </si>
  <si>
    <t>709878c4-24e9-4af6-9e94-3a9522206c24</t>
  </si>
  <si>
    <t>40970c37-d634-41f4-b2f3-0c3b37232721</t>
  </si>
  <si>
    <t>9527b094-3045-476d-a92e-5c32f026d094</t>
  </si>
  <si>
    <t>f82b9d16-d03c-43c8-8c7d-4f2930c5a549</t>
  </si>
  <si>
    <t>469214cf-245c-430b-8098-693cbdb7a436</t>
  </si>
  <si>
    <t>63dd9660-35f8-4f06-b36e-83dfa618107b</t>
  </si>
  <si>
    <t>13ddd281-6ff4-4455-9007-9c1a9a37608a</t>
  </si>
  <si>
    <t>4275b1e6-c4a4-49d6-ac12-1883575603a2</t>
  </si>
  <si>
    <t>f2960b84-9a4f-4c07-b093-0ff13cc802c1</t>
  </si>
  <si>
    <t>32eca7d0-0a17-48a2-8bcd-a82e6b2bb5f8</t>
  </si>
  <si>
    <t>8c3571b6-5a97-4bec-8643-1cc7877815ac</t>
  </si>
  <si>
    <t>19dc9289-93a1-4f7b-b8f6-c65f06b5b664</t>
  </si>
  <si>
    <t>5a4f220d-8666-4685-86f2-73a5cc497167</t>
  </si>
  <si>
    <t>57ea1ed8-c333-467f-921d-7138a4eb98f3</t>
  </si>
  <si>
    <t>14aa900c-2fc4-46da-9cbf-038dbd28c849</t>
  </si>
  <si>
    <t>b3b7e45d-efb4-41f7-9a92-8639aa041630</t>
  </si>
  <si>
    <t>969751d4-1410-4a18-8742-4fb497f7fafe</t>
  </si>
  <si>
    <t>7162d39d-8171-475d-adfd-b560e11d0545</t>
  </si>
  <si>
    <t>5996b1b1-ce07-4bb0-b318-a810a19fe5b0</t>
  </si>
  <si>
    <t>3ce87127-3f5a-462d-8509-884b0f6a407d</t>
  </si>
  <si>
    <t>a8879084-e807-4d43-9faa-9dfbc2262d61</t>
  </si>
  <si>
    <t>8de1cb04-e167-460c-82b2-def567cd1c8b</t>
  </si>
  <si>
    <t>397dbdbb-7c08-44e7-9e7a-943f01ab2482</t>
  </si>
  <si>
    <t>f50902ab-c534-4a55-bb72-f0e052d1ef5b</t>
  </si>
  <si>
    <t>9fddc82d-d28e-4d96-bd9c-fbb044cde016</t>
  </si>
  <si>
    <t>280b49d6-f294-4fad-8109-f9c0744bab3f</t>
  </si>
  <si>
    <t>b1a16eba-ac94-40de-ba02-0f144b9bd441</t>
  </si>
  <si>
    <t>cbf538b9-a341-42c9-88b7-0ccddd2f9e61</t>
  </si>
  <si>
    <t>cb0df8c2-d84f-4176-ad8f-2d3e27106c71</t>
  </si>
  <si>
    <t>2076a222-1120-4b9b-bfcd-3d892b5661cb</t>
  </si>
  <si>
    <t>6b17e9ba-73ea-4af4-a942-7fb870799925</t>
  </si>
  <si>
    <t>597dd976-6b7d-465c-9911-75aeb6315f8a</t>
  </si>
  <si>
    <t>b7a70fa0-1d14-4f31-9f32-ee65f47ecd0c</t>
  </si>
  <si>
    <t>3d651f14-a385-4b1f-9c74-d88296e3782b</t>
  </si>
  <si>
    <t>f323deeb-3b3f-489a-a2b8-24825449f542</t>
  </si>
  <si>
    <t>39e37801-8464-43bc-862a-7680daad48fd</t>
  </si>
  <si>
    <t>43af3068-d9bc-48d1-86c5-8236c3b21b8c</t>
  </si>
  <si>
    <t>be66f304-d37b-4fa0-aea6-1388f2e2bda3</t>
  </si>
  <si>
    <t>73c5cd59-02ec-4a4b-98f9-f6af51e00beb</t>
  </si>
  <si>
    <t>6de58201-56fd-4a39-bd41-092521b7f997</t>
  </si>
  <si>
    <t>fab2152a-981c-4ace-8aa9-29628a0b1af0</t>
  </si>
  <si>
    <t>bec21084-03a1-4a20-bde1-129ef66c6207</t>
  </si>
  <si>
    <t>5f2b73d4-532c-495a-9c34-bc1815b332b2</t>
  </si>
  <si>
    <t>ed235521-6255-445b-84cb-d982d22c4825</t>
  </si>
  <si>
    <t>f1027450-9094-42e0-8a2e-2b1b112d186b</t>
  </si>
  <si>
    <t>22fefdd3-856b-4166-a9d3-d853b59e97e9</t>
  </si>
  <si>
    <t>ce17d31b-ba5f-453b-94ca-ed5e700be609</t>
  </si>
  <si>
    <t>bc062d56-16d7-4299-86a6-0cc5eeb179b5</t>
  </si>
  <si>
    <t>1ba17582-57bd-4279-8f09-5d876e8856bc</t>
  </si>
  <si>
    <t>e3648737-479a-4289-92d6-def2c4833726</t>
  </si>
  <si>
    <t>4fce357d-e1f0-45bb-8a39-c21f1adc43cf</t>
  </si>
  <si>
    <t>bef9ce8d-60a6-417e-a4b6-23e5c672274f</t>
  </si>
  <si>
    <t>3d4eed54-f1bd-4bf0-871e-7a8ea1c396e0</t>
  </si>
  <si>
    <t>52cfba4a-025f-44d4-9f78-4f36f54ceece</t>
  </si>
  <si>
    <t>c7056525-c16d-48c6-9d8e-a32aa31f70cc</t>
  </si>
  <si>
    <t>e3914114-e2fe-4e70-9f19-5b0da504e80f</t>
  </si>
  <si>
    <t>9c3f9cfb-34c8-4204-9e3f-ae2434f7c64c</t>
  </si>
  <si>
    <t>dbaa5797-c7a2-4475-8bc6-9cf20e1ffe99</t>
  </si>
  <si>
    <t>cb2be191-4b6a-437b-9f32-b4c0e7b6b979</t>
  </si>
  <si>
    <t>603e98e7-7aec-4ec5-99f0-f8c8b832effb</t>
  </si>
  <si>
    <t>037ae7cd-d259-43eb-9d41-b6693232f752</t>
  </si>
  <si>
    <t>0701b0f5-3169-4762-bab0-900474d5e4c8</t>
  </si>
  <si>
    <t>6ea6dc44-032f-4f92-835d-ff5c10f622ff</t>
  </si>
  <si>
    <t>fca574d9-8c70-4a60-ac24-cedeaa4de9e9</t>
  </si>
  <si>
    <t>b6c6438b-8609-43a6-b4f6-895e47865091</t>
  </si>
  <si>
    <t>c78f211a-200d-4280-a17a-c69b1051cec9</t>
  </si>
  <si>
    <t>0b1f19c4-040d-4df7-95cb-3b41d32c93a0</t>
  </si>
  <si>
    <t>2b6cb699-9ca5-4347-b48c-051efcc96245</t>
  </si>
  <si>
    <t>6f20c369-94bc-4c35-bd55-de6d146eaaa1</t>
  </si>
  <si>
    <t>79a9ce18-4a23-4cda-9335-a56992ef2126</t>
  </si>
  <si>
    <t>9c62ddb5-ecbc-4a6a-b4e8-7512ef9a0021</t>
  </si>
  <si>
    <t>86198b07-026c-46a8-97af-e405ef57bcf1</t>
  </si>
  <si>
    <t>054f45f8-8998-493f-9de2-e89ebbcabd67</t>
  </si>
  <si>
    <t>533abb82-31ed-4598-bb9d-415b8f2c1eff</t>
  </si>
  <si>
    <t>cf349550-11f5-46b3-8d47-e04ee45e7088</t>
  </si>
  <si>
    <t>d6399124-899a-4933-959e-a0f24dc88b3a</t>
  </si>
  <si>
    <t>5b260b36-3988-4f4e-88d1-e50c27ca2507</t>
  </si>
  <si>
    <t>c4e8f8c4-d36a-43d9-9fa7-8180d462ae9a</t>
  </si>
  <si>
    <t>2f12054f-37b1-4da2-82b3-b26263a663e8</t>
  </si>
  <si>
    <t>bb0c871f-fa24-40ef-98dc-18202ae44562</t>
  </si>
  <si>
    <t>34803cdf-5f60-4133-a341-0d3f7b8a01ed</t>
  </si>
  <si>
    <t>21847e16-26eb-45ec-a995-3a9b08f48644</t>
  </si>
  <si>
    <t>d3d1629d-e9d3-4f7e-9bb0-86fd52965754</t>
  </si>
  <si>
    <t>0a7e7f37-41ad-4953-8f2f-839a6f7a27f9</t>
  </si>
  <si>
    <t>a38da396-1d6a-49d3-b873-92c1dc81d836</t>
  </si>
  <si>
    <t>8b42f63a-2c1b-465a-85f5-a807ae5eb424</t>
  </si>
  <si>
    <t>62174e27-7b58-48da-9b99-9f27404a1f0c</t>
  </si>
  <si>
    <t>5d2a4ab0-94c6-4b78-9d60-fbb62ba58214</t>
  </si>
  <si>
    <t>8599ecea-24f5-4d8f-8d19-67b2cbed8e18</t>
  </si>
  <si>
    <t>f7b84a53-fb94-4ba6-94ad-462f34469535</t>
  </si>
  <si>
    <t>6d70d3fa-6277-4dd0-9e61-b1613c7fee69</t>
  </si>
  <si>
    <t>82d12629-776f-49fe-9f2d-c6e2e8c72a9f</t>
  </si>
  <si>
    <t>38ad5fc4-9e27-463d-ab0b-7d397fff3238</t>
  </si>
  <si>
    <t>f185cdb0-2a7c-4308-b906-124a05aaa627</t>
  </si>
  <si>
    <t>4aa9fa64-840d-4c56-8d3e-42653711a17a</t>
  </si>
  <si>
    <t>01d1004a-1e60-4ef5-b5f1-7423a8f4a29d</t>
  </si>
  <si>
    <t>5344a6c7-21ff-40ac-b8f4-6f1e46942359</t>
  </si>
  <si>
    <t>1e9dd95a-7377-4ebe-80f7-2c97ee950242</t>
  </si>
  <si>
    <t>d3fcdfc0-6c9a-4e37-a921-c2f3acdbf5c4</t>
  </si>
  <si>
    <t>0c657fd6-4160-453f-86eb-d0fb382c495c</t>
  </si>
  <si>
    <t>b07d9890-dc72-408f-9181-e518d7df7a9b</t>
  </si>
  <si>
    <t>f687149c-beba-4e88-ab4a-0c667c763dd9</t>
  </si>
  <si>
    <t>3cc13200-e354-4222-b273-c8e4dd4ea729</t>
  </si>
  <si>
    <t>77c89b74-2c12-4a88-b3a5-ea41009f135a</t>
  </si>
  <si>
    <t>ff27fe0a-0cb1-4fc2-b999-2868faa30e07</t>
  </si>
  <si>
    <t>45dad4d3-db8b-4ecb-a490-104e692c9035</t>
  </si>
  <si>
    <t>ff39c5d1-aa8c-41bc-8776-2c422b8bca1f</t>
  </si>
  <si>
    <t>5abb7996-910c-4294-9b87-3eaa4d8b3f24</t>
  </si>
  <si>
    <t>80717614-8f74-4911-bc44-41293799d981</t>
  </si>
  <si>
    <t>102ddc07-7c44-4a6a-8f89-275a70beab6f</t>
  </si>
  <si>
    <t>ed86d516-c2dc-48ce-aa74-91693395548d</t>
  </si>
  <si>
    <t>dea872db-1bd9-4d4d-80fc-236ff063ea16</t>
  </si>
  <si>
    <t>57c26119-48ae-483a-99a0-f72a38949869</t>
  </si>
  <si>
    <t>2bbb9d46-662d-4b0c-993d-4b94997ee481</t>
  </si>
  <si>
    <t>8cb4f042-1723-487b-b912-5401cb655779</t>
  </si>
  <si>
    <t>4428a999-3ded-409e-b8c7-313e9e338b1f</t>
  </si>
  <si>
    <t>f0187659-7651-4568-a99c-d7f939afcf7e</t>
  </si>
  <si>
    <t>13e44cd4-ce83-48f9-987f-963b1e14dba6</t>
  </si>
  <si>
    <t>5feb4d76-71e3-41ba-9913-31bc92eb11a7</t>
  </si>
  <si>
    <t>a7615162-f08d-423a-b926-5cfb7bbf908f</t>
  </si>
  <si>
    <t>a8e788ce-a2af-4af1-9911-6004e3cf27df</t>
  </si>
  <si>
    <t>a2a6c4f3-e155-4c0b-9ba4-c5d04bc1a484</t>
  </si>
  <si>
    <t>23b7ef7c-5592-4ece-b3b8-3b300e51cd7a</t>
  </si>
  <si>
    <t>e9746c88-4527-4d3b-bd07-682ce720270d</t>
  </si>
  <si>
    <t>5ccd9ecd-9735-45e5-9184-59333ab240a4</t>
  </si>
  <si>
    <t>d5d2d3e2-1657-4586-b849-50f698a7111c</t>
  </si>
  <si>
    <t>93089907-c693-46e4-8b1f-ad51c44b7dc6</t>
  </si>
  <si>
    <t>5b85ecab-2f16-46f1-886a-f77fdbd1f501</t>
  </si>
  <si>
    <t>b7f8f546-73e6-4f1a-8d5c-9670d05b9a11</t>
  </si>
  <si>
    <t>4cbec8f4-0c87-47b0-8151-82de83f3f3e4</t>
  </si>
  <si>
    <t>6f1cf1a7-c099-4034-a39b-1a9680b9c736</t>
  </si>
  <si>
    <t>d670e9ed-932f-4339-9616-5324de67444b</t>
  </si>
  <si>
    <t>e1570132-4374-4e4c-8385-e18a2e99b5f2</t>
  </si>
  <si>
    <t>26865786-f84b-4e3a-b281-8d92e8fdcf99</t>
  </si>
  <si>
    <t>09c1e41a-bc65-47e8-accb-03dbc4bc3429</t>
  </si>
  <si>
    <t>029b9d4e-210c-4b05-82f1-300f45e6b184</t>
  </si>
  <si>
    <t>85f250f8-818e-4768-a974-9fbc6780b29c</t>
  </si>
  <si>
    <t>34d167f6-c210-4a0f-8f98-59d06472fc93</t>
  </si>
  <si>
    <t>0d651d9a-7f79-456f-8440-c1f887bca337</t>
  </si>
  <si>
    <t>ab017743-f436-4113-85b8-02ca37794575</t>
  </si>
  <si>
    <t>b76947b8-4e0b-40a0-87b5-b637c1522696</t>
  </si>
  <si>
    <t>b36f0391-2712-4286-b1aa-84c4415eae9a</t>
  </si>
  <si>
    <t>eecb336f-cff1-4a1a-91c1-0e4e28562b42</t>
  </si>
  <si>
    <t>044e7875-b7be-4d6e-b055-f1920f4c906e</t>
  </si>
  <si>
    <t>d6548879-7b27-48da-b348-23699e73cacd</t>
  </si>
  <si>
    <t>1eb17ef1-91af-4535-8ba5-1b5609fe8fde</t>
  </si>
  <si>
    <t>aaaf8c68-7cd5-4ccb-b98c-d4e7bbd7ab1e</t>
  </si>
  <si>
    <t>9bc0ee22-d499-48a1-ad50-9322532afd35</t>
  </si>
  <si>
    <t>dc62d8cd-7357-4bca-bd49-c113a39665d0</t>
  </si>
  <si>
    <t>2beb4c23-0542-4e63-bb8a-feabada62a23</t>
  </si>
  <si>
    <t>66d920f5-8a0f-4ec8-9dd7-f15bea38a62d</t>
  </si>
  <si>
    <t>2bb965c4-6d7d-4251-9668-491de4bacad3</t>
  </si>
  <si>
    <t>d1f2894d-f9ca-47a2-81ef-0dce35a4b151</t>
  </si>
  <si>
    <t>ff8fe947-a751-494c-a431-26eb8dd5f8b0</t>
  </si>
  <si>
    <t>367af4ce-0219-4808-a3c5-cb7fc3c9fa4b</t>
  </si>
  <si>
    <t>58aacb8d-1c94-4d34-a673-02733b8a6146</t>
  </si>
  <si>
    <t>1e76d500-d934-4a74-9726-c425c052d7a6</t>
  </si>
  <si>
    <t>9f7c750a-9f22-4c21-a807-32f7432a5d73</t>
  </si>
  <si>
    <t>09da485d-b0bb-462d-b0d1-1d194b625e91</t>
  </si>
  <si>
    <t>2e8f8ee1-6e4d-4331-b22e-e28eeade558b</t>
  </si>
  <si>
    <t>8af81c2d-494d-4d9a-b396-1633b9bd6e90</t>
  </si>
  <si>
    <t>63553e7f-76a1-4b1d-8501-43e6f559ca26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</si>
</sst>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0.00_-;\-&quot;£&quot;* #,##0.00_-;_-&quot;£&quot;* &quot;-&quot;??_-;_-@_-"/>
    <numFmt numFmtId="43" formatCode="_-* #,##0.00_-;\-* #,##0.00_-;_-* &quot;-&quot;??_-;_-@_-"/>
    <numFmt numFmtId="164" formatCode="#,##0\ ;\(#,##0\)"/>
    <numFmt numFmtId="165" formatCode="#,##0_);\(#,##0\)"/>
    <numFmt numFmtId="166" formatCode="[$£-809]#,##0"/>
    <numFmt numFmtId="167" formatCode="#,##0.00_-;#,##0.00\-;&quot; &quot;"/>
    <numFmt numFmtId="168" formatCode="#,##0.00_ ;\-#,##0.00\ "/>
    <numFmt numFmtId="169" formatCode="d\-mmm\-yy"/>
    <numFmt numFmtId="170" formatCode="mm/dd/yy"/>
    <numFmt numFmtId="171" formatCode="0.00000%"/>
    <numFmt numFmtId="172" formatCode="#,##0.00_ ;[Red]\-#,##0.00\ "/>
    <numFmt numFmtId="173" formatCode="0.000%"/>
    <numFmt numFmtId="174" formatCode="_-* #,##0_-;\-* #,##0_-;_-* &quot;-&quot;??_-;_-@_-"/>
    <numFmt numFmtId="175" formatCode="#,##0.0"/>
    <numFmt numFmtId="176" formatCode="###,000"/>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u/>
      <sz val="10"/>
      <color indexed="9"/>
      <name val="Arial"/>
      <family val="2"/>
    </font>
    <font>
      <sz val="10"/>
      <color indexed="9"/>
      <name val="Arial"/>
      <family val="2"/>
    </font>
    <font>
      <b/>
      <sz val="18"/>
      <name val="Arial"/>
      <family val="2"/>
    </font>
    <font>
      <b/>
      <sz val="10"/>
      <name val="Arial"/>
      <family val="2"/>
    </font>
    <font>
      <b/>
      <sz val="10"/>
      <color indexed="10"/>
      <name val="Arial"/>
      <family val="2"/>
    </font>
    <font>
      <b/>
      <sz val="12"/>
      <color indexed="10"/>
      <name val="Arial"/>
      <family val="2"/>
    </font>
    <font>
      <b/>
      <sz val="14"/>
      <name val="Arial"/>
      <family val="2"/>
    </font>
    <font>
      <b/>
      <sz val="12"/>
      <name val="Arial"/>
      <family val="2"/>
    </font>
    <font>
      <b/>
      <u/>
      <sz val="12"/>
      <name val="Arial"/>
      <family val="2"/>
    </font>
    <font>
      <sz val="12"/>
      <name val="Arial"/>
      <family val="2"/>
    </font>
    <font>
      <b/>
      <sz val="12"/>
      <color indexed="8"/>
      <name val="Arial"/>
      <family val="2"/>
    </font>
    <font>
      <sz val="12"/>
      <color indexed="8"/>
      <name val="Arial"/>
      <family val="2"/>
    </font>
    <font>
      <sz val="10"/>
      <name val="Arial"/>
      <family val="2"/>
    </font>
    <font>
      <b/>
      <sz val="10"/>
      <color indexed="9"/>
      <name val="Arial"/>
      <family val="2"/>
    </font>
    <font>
      <sz val="10"/>
      <color rgb="FFFF0000"/>
      <name val="Arial"/>
      <family val="2"/>
    </font>
    <font>
      <u/>
      <sz val="10"/>
      <color rgb="FFFF0000"/>
      <name val="Arial"/>
      <family val="2"/>
    </font>
    <font>
      <b/>
      <sz val="12"/>
      <color theme="1"/>
      <name val="Arial"/>
      <family val="2"/>
    </font>
    <font>
      <b/>
      <sz val="11"/>
      <color theme="1"/>
      <name val="Calibri"/>
      <family val="2"/>
      <scheme val="minor"/>
    </font>
    <font>
      <sz val="10"/>
      <color theme="1"/>
      <name val="Arial"/>
      <family val="2"/>
    </font>
    <font>
      <b/>
      <i/>
      <sz val="22"/>
      <name val="Arial"/>
      <family val="2"/>
    </font>
    <font>
      <sz val="14"/>
      <name val="Arial"/>
      <family val="2"/>
    </font>
    <font>
      <i/>
      <sz val="10"/>
      <color rgb="FFFF0000"/>
      <name val="Arial"/>
      <family val="2"/>
    </font>
    <font>
      <b/>
      <u/>
      <sz val="10"/>
      <name val="Arial"/>
      <family val="2"/>
    </font>
    <font>
      <b/>
      <sz val="10"/>
      <color indexed="8"/>
      <name val="Arial"/>
      <family val="2"/>
    </font>
    <font>
      <b/>
      <sz val="14"/>
      <color rgb="FFFF0000"/>
      <name val="Arial"/>
      <family val="2"/>
    </font>
    <font>
      <sz val="14"/>
      <color rgb="FFFF0000"/>
      <name val="Arial"/>
      <family val="2"/>
    </font>
    <font>
      <sz val="10"/>
      <color rgb="FF000000"/>
      <name val="Arial"/>
      <family val="2"/>
    </font>
    <font>
      <sz val="8"/>
      <color theme="1"/>
      <name val="Calibri"/>
      <family val="2"/>
      <scheme val="minor"/>
    </font>
    <font>
      <sz val="10"/>
      <name val="Calibri"/>
      <family val="2"/>
      <scheme val="minor"/>
    </font>
    <font>
      <sz val="11"/>
      <name val="Calibri"/>
      <family val="2"/>
      <scheme val="minor"/>
    </font>
    <font>
      <b/>
      <sz val="9"/>
      <color indexed="81"/>
      <name val="Tahoma"/>
      <family val="2"/>
    </font>
    <font>
      <sz val="9"/>
      <color indexed="81"/>
      <name val="Tahoma"/>
      <family val="2"/>
    </font>
    <font>
      <b/>
      <sz val="16"/>
      <name val="Arial"/>
      <family val="2"/>
    </font>
    <font>
      <b/>
      <sz val="12"/>
      <color indexed="10"/>
      <name val="Arial Black"/>
      <family val="2"/>
    </font>
    <font>
      <b/>
      <sz val="20"/>
      <name val="Arial"/>
      <family val="2"/>
    </font>
    <font>
      <b/>
      <u/>
      <sz val="12"/>
      <color indexed="10"/>
      <name val="Arial Black"/>
      <family val="2"/>
    </font>
    <font>
      <u/>
      <sz val="10"/>
      <color indexed="10"/>
      <name val="Arial Black"/>
      <family val="2"/>
    </font>
    <font>
      <sz val="10"/>
      <color indexed="8"/>
      <name val="Arial"/>
      <family val="2"/>
    </font>
    <font>
      <b/>
      <u/>
      <sz val="16"/>
      <color indexed="10"/>
      <name val="Arial Black"/>
      <family val="2"/>
    </font>
    <font>
      <sz val="10"/>
      <color indexed="12"/>
      <name val="Arial"/>
      <family val="2"/>
    </font>
    <font>
      <sz val="10"/>
      <color indexed="12"/>
      <name val="Arial Black"/>
      <family val="2"/>
    </font>
    <font>
      <sz val="10"/>
      <name val="Arial Black"/>
      <family val="2"/>
    </font>
    <font>
      <b/>
      <u/>
      <sz val="10"/>
      <color indexed="10"/>
      <name val="Arial Black"/>
      <family val="2"/>
    </font>
    <font>
      <b/>
      <sz val="12"/>
      <color rgb="FFFF0000"/>
      <name val="Arial"/>
      <family val="2"/>
    </font>
    <font>
      <sz val="12"/>
      <color rgb="FFFF0000"/>
      <name val="Arial"/>
      <family val="2"/>
    </font>
    <font>
      <b/>
      <u/>
      <sz val="14"/>
      <name val="Arial"/>
      <family val="2"/>
    </font>
    <font>
      <u/>
      <sz val="10"/>
      <name val="Arial Black"/>
      <family val="2"/>
    </font>
    <font>
      <b/>
      <i/>
      <sz val="9"/>
      <color indexed="10"/>
      <name val="Arial"/>
      <family val="2"/>
    </font>
    <font>
      <b/>
      <i/>
      <sz val="9"/>
      <name val="Arial"/>
      <family val="2"/>
    </font>
    <font>
      <b/>
      <i/>
      <sz val="10"/>
      <name val="Arial"/>
      <family val="2"/>
    </font>
    <font>
      <b/>
      <u/>
      <sz val="20"/>
      <name val="Arial"/>
      <family val="2"/>
    </font>
    <font>
      <i/>
      <sz val="10"/>
      <name val="Arial"/>
      <family val="2"/>
    </font>
    <font>
      <sz val="10"/>
      <color rgb="FF0000FF"/>
      <name val="Arial"/>
      <family val="2"/>
    </font>
    <font>
      <sz val="10"/>
      <name val="Arial"/>
    </font>
    <font>
      <b/>
      <sz val="10"/>
      <color rgb="FFFF0000"/>
      <name val="Arial"/>
      <family val="2"/>
    </font>
    <font>
      <sz val="10"/>
      <name val="Segoe UI"/>
      <family val="2"/>
    </font>
    <font>
      <b/>
      <i/>
      <sz val="14"/>
      <name val="Arial"/>
      <family val="2"/>
    </font>
    <font>
      <b/>
      <sz val="8"/>
      <color rgb="FF1F497D"/>
      <name val="Verdana"/>
      <family val="2"/>
    </font>
    <font>
      <sz val="8"/>
      <color rgb="FF1F497D"/>
      <name val="Verdana"/>
      <family val="2"/>
    </font>
    <font>
      <sz val="8"/>
      <color rgb="FF000000"/>
      <name val="Verdana"/>
      <family val="2"/>
    </font>
    <font>
      <sz val="11"/>
      <color rgb="FF000000"/>
      <name val="Calibri"/>
      <family val="2"/>
      <scheme val="minor"/>
    </font>
    <font>
      <u/>
      <sz val="11"/>
      <color theme="10"/>
      <name val="Calibri"/>
      <family val="2"/>
      <scheme val="minor"/>
    </font>
    <font>
      <b/>
      <sz val="10"/>
      <color theme="1"/>
      <name val="Arial"/>
      <family val="2"/>
    </font>
  </fonts>
  <fills count="2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indexed="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FFFF"/>
        <bgColor indexed="64"/>
      </patternFill>
    </fill>
    <fill>
      <patternFill patternType="solid">
        <fgColor theme="8" tint="0.79998168889431442"/>
        <bgColor indexed="65"/>
      </patternFill>
    </fill>
    <fill>
      <patternFill patternType="solid">
        <fgColor rgb="FFDBE5F1"/>
        <bgColor rgb="FF000000"/>
      </patternFill>
    </fill>
    <fill>
      <patternFill patternType="solid">
        <fgColor rgb="FFDBE5F1"/>
        <bgColor rgb="FFFFFFFF"/>
      </patternFill>
    </fill>
    <fill>
      <patternFill patternType="solid">
        <fgColor rgb="FFF1F5FB"/>
        <bgColor rgb="FF000000"/>
      </patternFill>
    </fill>
    <fill>
      <patternFill patternType="solid">
        <fgColor rgb="FFE9EFF7"/>
        <bgColor rgb="FF000000"/>
      </patternFill>
    </fill>
    <fill>
      <patternFill patternType="solid">
        <fgColor rgb="FFDBE5F2"/>
        <bgColor rgb="FF000000"/>
      </patternFill>
    </fill>
    <fill>
      <patternFill patternType="solid">
        <fgColor rgb="FFC3D6EB"/>
        <bgColor rgb="FF000000"/>
      </patternFill>
    </fill>
    <fill>
      <patternFill patternType="solid">
        <fgColor rgb="FFB7CFE8"/>
        <bgColor rgb="FF000000"/>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style="thin">
        <color indexed="64"/>
      </bottom>
      <diagonal/>
    </border>
    <border>
      <left/>
      <right/>
      <top style="thin">
        <color indexed="22"/>
      </top>
      <bottom/>
      <diagonal/>
    </border>
    <border>
      <left style="thin">
        <color indexed="64"/>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indexed="64"/>
      </left>
      <right/>
      <top style="thin">
        <color indexed="22"/>
      </top>
      <bottom/>
      <diagonal/>
    </border>
    <border>
      <left/>
      <right style="thin">
        <color indexed="22"/>
      </right>
      <top style="thin">
        <color indexed="22"/>
      </top>
      <bottom/>
      <diagonal/>
    </border>
    <border>
      <left style="thin">
        <color indexed="64"/>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indexed="64"/>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indexed="64"/>
      </left>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808080"/>
      </left>
      <right style="thin">
        <color rgb="FF808080"/>
      </right>
      <top style="thin">
        <color rgb="FF808080"/>
      </top>
      <bottom style="thin">
        <color rgb="FF80808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84">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44" fontId="4" fillId="0" borderId="0" applyFont="0" applyFill="0" applyBorder="0" applyAlignment="0" applyProtection="0"/>
    <xf numFmtId="0" fontId="3" fillId="0" borderId="0"/>
    <xf numFmtId="0" fontId="3" fillId="0" borderId="0"/>
    <xf numFmtId="44" fontId="60"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64" fillId="19" borderId="39" applyNumberFormat="0" applyAlignment="0" applyProtection="0">
      <alignment horizontal="left" vertical="center" indent="1"/>
    </xf>
    <xf numFmtId="176" fontId="65" fillId="20" borderId="39" applyNumberFormat="0" applyAlignment="0" applyProtection="0">
      <alignment horizontal="left" vertical="center" indent="1"/>
    </xf>
    <xf numFmtId="0" fontId="66" fillId="21" borderId="40" applyNumberFormat="0" applyAlignment="0" applyProtection="0">
      <alignment horizontal="left" vertical="center" indent="1"/>
    </xf>
    <xf numFmtId="176" fontId="65" fillId="0" borderId="41" applyNumberFormat="0" applyProtection="0">
      <alignment horizontal="right" vertical="center"/>
    </xf>
    <xf numFmtId="0" fontId="66" fillId="22" borderId="39" applyNumberFormat="0" applyAlignment="0" applyProtection="0">
      <alignment horizontal="left" vertical="center" indent="1"/>
    </xf>
    <xf numFmtId="0" fontId="66" fillId="23" borderId="39" applyNumberFormat="0" applyAlignment="0" applyProtection="0">
      <alignment horizontal="left" vertical="center" indent="1"/>
    </xf>
    <xf numFmtId="0" fontId="66" fillId="24" borderId="39" applyNumberFormat="0" applyAlignment="0" applyProtection="0">
      <alignment horizontal="left" vertical="center" indent="1"/>
    </xf>
    <xf numFmtId="0" fontId="66" fillId="25" borderId="39" applyNumberFormat="0" applyAlignment="0" applyProtection="0">
      <alignment horizontal="left" vertical="center" indent="1"/>
    </xf>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9" fillId="0" borderId="0"/>
    <xf numFmtId="43" fontId="19"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9" fillId="0" borderId="0"/>
    <xf numFmtId="43" fontId="19" fillId="0" borderId="0" applyFont="0" applyFill="0" applyBorder="0" applyAlignment="0" applyProtection="0"/>
    <xf numFmtId="43" fontId="2" fillId="0" borderId="0" applyFont="0" applyFill="0" applyBorder="0" applyAlignment="0" applyProtection="0"/>
    <xf numFmtId="0" fontId="2" fillId="0" borderId="0"/>
    <xf numFmtId="0" fontId="67" fillId="0" borderId="0"/>
    <xf numFmtId="0" fontId="19" fillId="0" borderId="0"/>
    <xf numFmtId="0" fontId="19" fillId="0" borderId="0"/>
    <xf numFmtId="0" fontId="2" fillId="0" borderId="0"/>
    <xf numFmtId="43" fontId="2" fillId="0" borderId="0" applyFont="0" applyFill="0" applyBorder="0" applyAlignment="0" applyProtection="0"/>
    <xf numFmtId="0" fontId="19" fillId="0" borderId="0"/>
    <xf numFmtId="0" fontId="68" fillId="0" borderId="0" applyNumberForma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2" fillId="18" borderId="0" applyNumberFormat="0" applyBorder="0" applyAlignment="0" applyProtection="0"/>
    <xf numFmtId="0" fontId="2" fillId="0" borderId="0"/>
    <xf numFmtId="0" fontId="19" fillId="0" borderId="0"/>
    <xf numFmtId="43" fontId="2" fillId="0" borderId="0" applyFont="0" applyFill="0" applyBorder="0" applyAlignment="0" applyProtection="0"/>
    <xf numFmtId="0" fontId="19" fillId="0" borderId="0"/>
    <xf numFmtId="0" fontId="2" fillId="0" borderId="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9"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43" fontId="2" fillId="0" borderId="0" applyFont="0" applyFill="0" applyBorder="0" applyAlignment="0" applyProtection="0"/>
    <xf numFmtId="0" fontId="1" fillId="0" borderId="0"/>
  </cellStyleXfs>
  <cellXfs count="591">
    <xf numFmtId="0" fontId="0" fillId="0" borderId="0" xfId="0"/>
    <xf numFmtId="0" fontId="0" fillId="2" borderId="0" xfId="0" applyFill="1" applyProtection="1">
      <protection hidden="1"/>
    </xf>
    <xf numFmtId="0" fontId="7" fillId="2" borderId="0" xfId="2" applyFont="1" applyFill="1" applyAlignment="1" applyProtection="1"/>
    <xf numFmtId="0" fontId="8" fillId="2" borderId="0" xfId="0" applyFont="1" applyFill="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10" fillId="2" borderId="4" xfId="0" applyFont="1" applyFill="1" applyBorder="1" applyProtection="1">
      <protection hidden="1"/>
    </xf>
    <xf numFmtId="0" fontId="11" fillId="2" borderId="0" xfId="0" applyFont="1" applyFill="1" applyProtection="1">
      <protection hidden="1"/>
    </xf>
    <xf numFmtId="0" fontId="12" fillId="2" borderId="0" xfId="0" applyFont="1" applyFill="1" applyAlignment="1" applyProtection="1">
      <alignment horizontal="left"/>
      <protection hidden="1"/>
    </xf>
    <xf numFmtId="1" fontId="11" fillId="2" borderId="0" xfId="0" applyNumberFormat="1" applyFont="1" applyFill="1" applyAlignment="1" applyProtection="1">
      <alignment horizontal="left"/>
      <protection hidden="1"/>
    </xf>
    <xf numFmtId="0" fontId="15" fillId="2" borderId="0" xfId="0" applyFont="1" applyFill="1" applyProtection="1">
      <protection hidden="1"/>
    </xf>
    <xf numFmtId="0" fontId="14" fillId="2" borderId="0" xfId="0" applyFont="1" applyFill="1" applyProtection="1">
      <protection hidden="1"/>
    </xf>
    <xf numFmtId="164" fontId="16" fillId="2" borderId="0" xfId="0" applyNumberFormat="1" applyFont="1" applyFill="1" applyAlignment="1" applyProtection="1">
      <alignment horizontal="right"/>
      <protection hidden="1"/>
    </xf>
    <xf numFmtId="165" fontId="14" fillId="2" borderId="0" xfId="0" applyNumberFormat="1" applyFont="1" applyFill="1" applyAlignment="1" applyProtection="1">
      <alignment horizontal="right"/>
      <protection hidden="1"/>
    </xf>
    <xf numFmtId="3" fontId="0" fillId="2" borderId="0" xfId="0" applyNumberFormat="1" applyFill="1" applyProtection="1">
      <protection hidden="1"/>
    </xf>
    <xf numFmtId="3" fontId="16" fillId="2" borderId="0" xfId="0" applyNumberFormat="1" applyFont="1" applyFill="1" applyAlignment="1" applyProtection="1">
      <alignment horizontal="right"/>
      <protection hidden="1"/>
    </xf>
    <xf numFmtId="0" fontId="10" fillId="2" borderId="0" xfId="0" applyFont="1" applyFill="1" applyProtection="1">
      <protection hidden="1"/>
    </xf>
    <xf numFmtId="0" fontId="16" fillId="2" borderId="0" xfId="0" applyFont="1" applyFill="1" applyProtection="1">
      <protection hidden="1"/>
    </xf>
    <xf numFmtId="3" fontId="17" fillId="2" borderId="0" xfId="0" applyNumberFormat="1" applyFont="1" applyFill="1" applyProtection="1">
      <protection hidden="1"/>
    </xf>
    <xf numFmtId="3" fontId="14" fillId="2" borderId="0" xfId="0" applyNumberFormat="1" applyFont="1" applyFill="1" applyProtection="1">
      <protection hidden="1"/>
    </xf>
    <xf numFmtId="3" fontId="16" fillId="2" borderId="0" xfId="0" applyNumberFormat="1" applyFont="1" applyFill="1" applyProtection="1">
      <protection hidden="1"/>
    </xf>
    <xf numFmtId="3" fontId="18" fillId="2" borderId="0" xfId="0" applyNumberFormat="1" applyFont="1" applyFill="1" applyProtection="1">
      <protection hidden="1"/>
    </xf>
    <xf numFmtId="0" fontId="10" fillId="2" borderId="0" xfId="0" applyFont="1" applyFill="1" applyAlignment="1" applyProtection="1">
      <alignment horizontal="right"/>
      <protection hidden="1"/>
    </xf>
    <xf numFmtId="3" fontId="19" fillId="2" borderId="0" xfId="0" applyNumberFormat="1" applyFont="1" applyFill="1" applyAlignment="1" applyProtection="1">
      <alignment horizontal="right"/>
      <protection hidden="1"/>
    </xf>
    <xf numFmtId="3" fontId="10" fillId="2" borderId="0" xfId="0" applyNumberFormat="1" applyFont="1" applyFill="1" applyAlignment="1" applyProtection="1">
      <alignment horizontal="right"/>
      <protection hidden="1"/>
    </xf>
    <xf numFmtId="0" fontId="10" fillId="2" borderId="5" xfId="0" applyFont="1" applyFill="1" applyBorder="1" applyProtection="1">
      <protection hidden="1"/>
    </xf>
    <xf numFmtId="0" fontId="10" fillId="0" borderId="4" xfId="0" applyFont="1" applyBorder="1" applyProtection="1">
      <protection hidden="1"/>
    </xf>
    <xf numFmtId="0" fontId="13" fillId="2" borderId="0" xfId="0" applyFont="1" applyFill="1" applyProtection="1">
      <protection hidden="1"/>
    </xf>
    <xf numFmtId="0" fontId="0" fillId="0" borderId="5" xfId="0"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3" fontId="20" fillId="2" borderId="7" xfId="0" applyNumberFormat="1" applyFont="1" applyFill="1" applyBorder="1" applyProtection="1">
      <protection hidden="1"/>
    </xf>
    <xf numFmtId="0" fontId="0" fillId="2" borderId="8" xfId="0" applyFill="1" applyBorder="1" applyProtection="1">
      <protection hidden="1"/>
    </xf>
    <xf numFmtId="0" fontId="21" fillId="2" borderId="0" xfId="0" applyFont="1" applyFill="1" applyProtection="1">
      <protection hidden="1"/>
    </xf>
    <xf numFmtId="0" fontId="22" fillId="2" borderId="0" xfId="2" applyFont="1" applyFill="1" applyAlignment="1" applyProtection="1"/>
    <xf numFmtId="0" fontId="21" fillId="2" borderId="0" xfId="0" applyFont="1" applyFill="1"/>
    <xf numFmtId="0" fontId="23" fillId="2" borderId="0" xfId="0" applyFont="1" applyFill="1" applyAlignment="1" applyProtection="1">
      <alignment horizontal="left"/>
      <protection hidden="1"/>
    </xf>
    <xf numFmtId="1" fontId="23" fillId="0" borderId="0" xfId="0" applyNumberFormat="1" applyFont="1" applyFill="1" applyBorder="1" applyAlignment="1" applyProtection="1">
      <alignment horizontal="left"/>
      <protection hidden="1"/>
    </xf>
    <xf numFmtId="0" fontId="0" fillId="0" borderId="0" xfId="0" applyAlignment="1">
      <alignment wrapText="1"/>
    </xf>
    <xf numFmtId="0" fontId="19" fillId="0" borderId="0" xfId="0" applyFont="1"/>
    <xf numFmtId="3" fontId="17" fillId="2" borderId="10" xfId="0" applyNumberFormat="1" applyFont="1" applyFill="1" applyBorder="1" applyProtection="1">
      <protection hidden="1"/>
    </xf>
    <xf numFmtId="0" fontId="26" fillId="2" borderId="0" xfId="0" applyFont="1" applyFill="1"/>
    <xf numFmtId="0" fontId="10" fillId="0" borderId="0" xfId="0" applyFont="1"/>
    <xf numFmtId="1" fontId="12" fillId="2" borderId="0" xfId="0" applyNumberFormat="1" applyFont="1" applyFill="1" applyAlignment="1" applyProtection="1">
      <alignment horizontal="left"/>
      <protection hidden="1"/>
    </xf>
    <xf numFmtId="0" fontId="17" fillId="2" borderId="0" xfId="0" applyFont="1" applyFill="1" applyAlignment="1" applyProtection="1">
      <alignment horizontal="left"/>
      <protection hidden="1"/>
    </xf>
    <xf numFmtId="0" fontId="27" fillId="2" borderId="0" xfId="0" applyFont="1" applyFill="1" applyProtection="1">
      <protection hidden="1"/>
    </xf>
    <xf numFmtId="164" fontId="27" fillId="2" borderId="0" xfId="0" applyNumberFormat="1" applyFont="1" applyFill="1" applyProtection="1">
      <protection hidden="1"/>
    </xf>
    <xf numFmtId="164" fontId="0" fillId="2" borderId="0" xfId="0" applyNumberFormat="1" applyFill="1" applyProtection="1">
      <protection hidden="1"/>
    </xf>
    <xf numFmtId="0" fontId="18" fillId="2" borderId="0" xfId="0" applyFont="1" applyFill="1" applyAlignment="1" applyProtection="1">
      <alignment horizontal="left"/>
      <protection hidden="1"/>
    </xf>
    <xf numFmtId="164" fontId="16" fillId="2" borderId="0" xfId="0" applyNumberFormat="1" applyFont="1" applyFill="1" applyProtection="1">
      <protection hidden="1"/>
    </xf>
    <xf numFmtId="0" fontId="28" fillId="2" borderId="0" xfId="0" applyFont="1" applyFill="1" applyAlignment="1" applyProtection="1">
      <alignment horizontal="left"/>
      <protection hidden="1"/>
    </xf>
    <xf numFmtId="0" fontId="29" fillId="2" borderId="0" xfId="0" applyFont="1" applyFill="1" applyAlignment="1" applyProtection="1">
      <alignment horizontal="right"/>
      <protection hidden="1"/>
    </xf>
    <xf numFmtId="0" fontId="32" fillId="0" borderId="0" xfId="0" applyFont="1"/>
    <xf numFmtId="0" fontId="9" fillId="4" borderId="1" xfId="0" applyFont="1" applyFill="1" applyBorder="1" applyProtection="1">
      <protection hidden="1"/>
    </xf>
    <xf numFmtId="0" fontId="9" fillId="4" borderId="2" xfId="0" applyFont="1" applyFill="1" applyBorder="1" applyProtection="1">
      <protection hidden="1"/>
    </xf>
    <xf numFmtId="0" fontId="9" fillId="4" borderId="3" xfId="0" applyFont="1" applyFill="1" applyBorder="1" applyProtection="1">
      <protection hidden="1"/>
    </xf>
    <xf numFmtId="0" fontId="10" fillId="4" borderId="1" xfId="0" applyFont="1" applyFill="1" applyBorder="1" applyProtection="1">
      <protection hidden="1"/>
    </xf>
    <xf numFmtId="0" fontId="10" fillId="4" borderId="2" xfId="0" applyFont="1" applyFill="1" applyBorder="1" applyProtection="1">
      <protection hidden="1"/>
    </xf>
    <xf numFmtId="0" fontId="13" fillId="4" borderId="2" xfId="0" applyFont="1" applyFill="1" applyBorder="1" applyProtection="1">
      <protection hidden="1"/>
    </xf>
    <xf numFmtId="0" fontId="10" fillId="4" borderId="2" xfId="0" applyFont="1" applyFill="1" applyBorder="1" applyAlignment="1" applyProtection="1">
      <alignment horizontal="right"/>
      <protection hidden="1"/>
    </xf>
    <xf numFmtId="0" fontId="14" fillId="4" borderId="2" xfId="0" applyFont="1" applyFill="1" applyBorder="1" applyAlignment="1" applyProtection="1">
      <alignment horizontal="right"/>
      <protection hidden="1"/>
    </xf>
    <xf numFmtId="0" fontId="10" fillId="4" borderId="3"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3" fontId="14" fillId="4" borderId="2" xfId="0" applyNumberFormat="1" applyFont="1" applyFill="1" applyBorder="1" applyProtection="1">
      <protection hidden="1"/>
    </xf>
    <xf numFmtId="164" fontId="13" fillId="4" borderId="2" xfId="0" applyNumberFormat="1" applyFont="1" applyFill="1" applyBorder="1" applyProtection="1">
      <protection hidden="1"/>
    </xf>
    <xf numFmtId="0" fontId="0" fillId="4" borderId="3" xfId="0" applyFill="1" applyBorder="1" applyProtection="1">
      <protection hidden="1"/>
    </xf>
    <xf numFmtId="0" fontId="0" fillId="4" borderId="9" xfId="0" applyFill="1" applyBorder="1" applyProtection="1">
      <protection hidden="1"/>
    </xf>
    <xf numFmtId="0" fontId="0" fillId="4" borderId="10" xfId="0" applyFill="1" applyBorder="1" applyProtection="1">
      <protection hidden="1"/>
    </xf>
    <xf numFmtId="0" fontId="0" fillId="4" borderId="11" xfId="0" applyFill="1" applyBorder="1" applyProtection="1">
      <protection hidden="1"/>
    </xf>
    <xf numFmtId="0" fontId="10" fillId="4" borderId="4" xfId="0" applyFont="1" applyFill="1" applyBorder="1" applyProtection="1">
      <protection hidden="1"/>
    </xf>
    <xf numFmtId="0" fontId="0" fillId="4" borderId="0" xfId="0" applyFill="1" applyProtection="1">
      <protection hidden="1"/>
    </xf>
    <xf numFmtId="0" fontId="0" fillId="4" borderId="5" xfId="0" applyFill="1" applyBorder="1" applyProtection="1">
      <protection hidden="1"/>
    </xf>
    <xf numFmtId="0" fontId="0" fillId="4" borderId="4" xfId="0" applyFill="1" applyBorder="1" applyProtection="1">
      <protection hidden="1"/>
    </xf>
    <xf numFmtId="0" fontId="0" fillId="4" borderId="4" xfId="0" applyFill="1" applyBorder="1" applyAlignment="1" applyProtection="1">
      <alignment horizontal="left"/>
      <protection hidden="1"/>
    </xf>
    <xf numFmtId="0" fontId="11" fillId="4" borderId="0" xfId="0" applyFont="1" applyFill="1" applyAlignment="1" applyProtection="1">
      <alignment horizontal="left"/>
      <protection hidden="1"/>
    </xf>
    <xf numFmtId="0" fontId="23" fillId="4" borderId="4" xfId="0" applyFont="1" applyFill="1" applyBorder="1" applyAlignment="1" applyProtection="1">
      <alignment horizontal="right"/>
      <protection hidden="1"/>
    </xf>
    <xf numFmtId="0" fontId="19" fillId="4" borderId="4" xfId="0" applyFont="1" applyFill="1" applyBorder="1" applyProtection="1">
      <protection hidden="1"/>
    </xf>
    <xf numFmtId="0" fontId="0" fillId="4" borderId="6" xfId="0" applyFill="1" applyBorder="1" applyProtection="1">
      <protection hidden="1"/>
    </xf>
    <xf numFmtId="0" fontId="0" fillId="4" borderId="7" xfId="0" applyFill="1" applyBorder="1" applyProtection="1">
      <protection hidden="1"/>
    </xf>
    <xf numFmtId="0" fontId="0" fillId="4" borderId="8" xfId="0" applyFill="1" applyBorder="1" applyProtection="1">
      <protection hidden="1"/>
    </xf>
    <xf numFmtId="0" fontId="9" fillId="4" borderId="1" xfId="0" applyFont="1" applyFill="1" applyBorder="1" applyAlignment="1" applyProtection="1">
      <protection hidden="1"/>
    </xf>
    <xf numFmtId="0" fontId="9" fillId="4" borderId="2" xfId="0" applyFont="1" applyFill="1" applyBorder="1" applyAlignment="1" applyProtection="1">
      <protection hidden="1"/>
    </xf>
    <xf numFmtId="0" fontId="9" fillId="4" borderId="3" xfId="0" applyFont="1" applyFill="1" applyBorder="1" applyAlignment="1" applyProtection="1">
      <protection hidden="1"/>
    </xf>
    <xf numFmtId="0" fontId="11" fillId="4" borderId="2" xfId="0" applyFont="1" applyFill="1" applyBorder="1" applyProtection="1">
      <protection hidden="1"/>
    </xf>
    <xf numFmtId="0" fontId="13" fillId="4" borderId="2" xfId="0" applyFont="1" applyFill="1" applyBorder="1" applyAlignment="1" applyProtection="1">
      <alignment horizontal="left"/>
      <protection hidden="1"/>
    </xf>
    <xf numFmtId="0" fontId="10" fillId="4" borderId="1" xfId="0" applyFont="1" applyFill="1" applyBorder="1" applyAlignment="1" applyProtection="1">
      <alignment vertical="center"/>
      <protection hidden="1"/>
    </xf>
    <xf numFmtId="0" fontId="11" fillId="4" borderId="2" xfId="0" applyFont="1" applyFill="1" applyBorder="1" applyAlignment="1" applyProtection="1">
      <alignment vertical="center"/>
      <protection hidden="1"/>
    </xf>
    <xf numFmtId="0" fontId="17" fillId="4" borderId="2" xfId="0" applyFont="1" applyFill="1" applyBorder="1" applyAlignment="1" applyProtection="1">
      <alignment horizontal="left" vertical="center"/>
      <protection hidden="1"/>
    </xf>
    <xf numFmtId="0" fontId="0" fillId="4" borderId="2" xfId="0" applyFill="1" applyBorder="1" applyAlignment="1" applyProtection="1">
      <alignment vertical="center"/>
      <protection hidden="1"/>
    </xf>
    <xf numFmtId="164" fontId="16" fillId="4" borderId="2" xfId="0" applyNumberFormat="1" applyFont="1" applyFill="1" applyBorder="1" applyAlignment="1" applyProtection="1">
      <alignment vertical="center"/>
      <protection hidden="1"/>
    </xf>
    <xf numFmtId="164" fontId="14" fillId="4" borderId="2" xfId="0" quotePrefix="1" applyNumberFormat="1" applyFont="1" applyFill="1" applyBorder="1" applyAlignment="1" applyProtection="1">
      <alignment vertical="center"/>
      <protection hidden="1"/>
    </xf>
    <xf numFmtId="164" fontId="0" fillId="4" borderId="2" xfId="0" applyNumberFormat="1" applyFill="1" applyBorder="1" applyAlignment="1" applyProtection="1">
      <alignment vertical="center"/>
      <protection hidden="1"/>
    </xf>
    <xf numFmtId="0" fontId="0" fillId="4" borderId="3" xfId="0" applyFill="1" applyBorder="1" applyAlignment="1" applyProtection="1">
      <alignment vertical="center"/>
      <protection hidden="1"/>
    </xf>
    <xf numFmtId="0" fontId="11" fillId="4" borderId="4" xfId="0" applyFont="1" applyFill="1" applyBorder="1" applyAlignment="1" applyProtection="1">
      <alignment horizontal="right"/>
      <protection hidden="1"/>
    </xf>
    <xf numFmtId="0" fontId="19" fillId="4" borderId="4" xfId="2" applyFont="1" applyFill="1" applyBorder="1" applyAlignment="1" applyProtection="1"/>
    <xf numFmtId="0" fontId="19" fillId="4" borderId="0" xfId="0" applyFont="1" applyFill="1"/>
    <xf numFmtId="0" fontId="4" fillId="0" borderId="0" xfId="3"/>
    <xf numFmtId="4" fontId="4" fillId="0" borderId="0" xfId="3" applyNumberFormat="1"/>
    <xf numFmtId="4" fontId="24" fillId="4" borderId="13" xfId="3" applyNumberFormat="1" applyFont="1" applyFill="1" applyBorder="1"/>
    <xf numFmtId="4" fontId="24" fillId="4" borderId="14" xfId="3" applyNumberFormat="1" applyFont="1" applyFill="1" applyBorder="1"/>
    <xf numFmtId="0" fontId="24" fillId="4" borderId="14" xfId="3" applyFont="1" applyFill="1" applyBorder="1"/>
    <xf numFmtId="0" fontId="10" fillId="4" borderId="15" xfId="3" applyFont="1" applyFill="1" applyBorder="1"/>
    <xf numFmtId="0" fontId="4" fillId="0" borderId="0" xfId="3" applyProtection="1">
      <protection locked="0"/>
    </xf>
    <xf numFmtId="166" fontId="33" fillId="0" borderId="0" xfId="4" applyNumberFormat="1" applyFont="1"/>
    <xf numFmtId="0" fontId="19" fillId="0" borderId="0" xfId="3" applyFont="1"/>
    <xf numFmtId="0" fontId="10" fillId="0" borderId="0" xfId="3" applyFont="1"/>
    <xf numFmtId="0" fontId="24" fillId="0" borderId="0" xfId="3" applyFont="1"/>
    <xf numFmtId="0" fontId="34" fillId="0" borderId="0" xfId="3" applyFont="1"/>
    <xf numFmtId="4" fontId="24" fillId="0" borderId="0" xfId="3" applyNumberFormat="1" applyFont="1"/>
    <xf numFmtId="4" fontId="24" fillId="5" borderId="14" xfId="3" applyNumberFormat="1" applyFont="1" applyFill="1" applyBorder="1"/>
    <xf numFmtId="0" fontId="10" fillId="5" borderId="14" xfId="3" applyFont="1" applyFill="1" applyBorder="1"/>
    <xf numFmtId="0" fontId="24" fillId="5" borderId="15" xfId="3" applyFont="1" applyFill="1" applyBorder="1"/>
    <xf numFmtId="0" fontId="4" fillId="3" borderId="0" xfId="3" applyFill="1"/>
    <xf numFmtId="167" fontId="4" fillId="0" borderId="16" xfId="3" applyNumberFormat="1" applyBorder="1"/>
    <xf numFmtId="0" fontId="19" fillId="3" borderId="0" xfId="3" applyFont="1" applyFill="1"/>
    <xf numFmtId="0" fontId="4" fillId="6" borderId="0" xfId="3" applyFill="1"/>
    <xf numFmtId="4" fontId="4" fillId="7" borderId="0" xfId="3" applyNumberFormat="1" applyFill="1"/>
    <xf numFmtId="4" fontId="4" fillId="3" borderId="0" xfId="3" applyNumberFormat="1" applyFill="1"/>
    <xf numFmtId="0" fontId="35" fillId="7" borderId="0" xfId="3" applyFont="1" applyFill="1"/>
    <xf numFmtId="0" fontId="35" fillId="3" borderId="0" xfId="3" applyFont="1" applyFill="1"/>
    <xf numFmtId="0" fontId="4" fillId="7" borderId="0" xfId="3" applyFill="1"/>
    <xf numFmtId="4" fontId="10" fillId="5" borderId="14" xfId="3" applyNumberFormat="1" applyFont="1" applyFill="1" applyBorder="1"/>
    <xf numFmtId="4" fontId="24" fillId="5" borderId="15" xfId="3" applyNumberFormat="1" applyFont="1" applyFill="1" applyBorder="1"/>
    <xf numFmtId="4" fontId="4" fillId="6" borderId="0" xfId="3" applyNumberFormat="1" applyFill="1"/>
    <xf numFmtId="4" fontId="19" fillId="0" borderId="0" xfId="3" applyNumberFormat="1" applyFont="1"/>
    <xf numFmtId="0" fontId="4" fillId="5" borderId="0" xfId="3" applyFill="1"/>
    <xf numFmtId="4" fontId="36" fillId="0" borderId="0" xfId="3" applyNumberFormat="1" applyFont="1"/>
    <xf numFmtId="0" fontId="19" fillId="6" borderId="0" xfId="3" applyFont="1" applyFill="1"/>
    <xf numFmtId="0" fontId="25" fillId="6" borderId="0" xfId="3" applyFont="1" applyFill="1"/>
    <xf numFmtId="0" fontId="25" fillId="0" borderId="0" xfId="3" applyFont="1"/>
    <xf numFmtId="168" fontId="4" fillId="0" borderId="0" xfId="3" applyNumberFormat="1"/>
    <xf numFmtId="0" fontId="25" fillId="3" borderId="0" xfId="3" applyFont="1" applyFill="1"/>
    <xf numFmtId="0" fontId="24" fillId="8" borderId="12" xfId="3" applyFont="1" applyFill="1" applyBorder="1" applyAlignment="1">
      <alignment vertical="top" wrapText="1"/>
    </xf>
    <xf numFmtId="0" fontId="24" fillId="8" borderId="15" xfId="3" applyFont="1" applyFill="1" applyBorder="1" applyAlignment="1">
      <alignment horizontal="center" vertical="top" wrapText="1"/>
    </xf>
    <xf numFmtId="0" fontId="24" fillId="8" borderId="12" xfId="3" applyFont="1" applyFill="1" applyBorder="1" applyAlignment="1">
      <alignment horizontal="center" vertical="top" wrapText="1"/>
    </xf>
    <xf numFmtId="0" fontId="24" fillId="8" borderId="15" xfId="3" quotePrefix="1" applyFont="1" applyFill="1" applyBorder="1" applyAlignment="1">
      <alignment horizontal="center" vertical="top" wrapText="1"/>
    </xf>
    <xf numFmtId="0" fontId="24" fillId="8" borderId="14" xfId="3" applyFont="1" applyFill="1" applyBorder="1" applyAlignment="1">
      <alignment vertical="top" wrapText="1"/>
    </xf>
    <xf numFmtId="0" fontId="10" fillId="8" borderId="12" xfId="3" applyFont="1" applyFill="1" applyBorder="1" applyAlignment="1">
      <alignment vertical="top" wrapText="1"/>
    </xf>
    <xf numFmtId="0" fontId="10" fillId="8" borderId="14" xfId="3" applyFont="1" applyFill="1" applyBorder="1" applyAlignment="1">
      <alignment vertical="top" wrapText="1"/>
    </xf>
    <xf numFmtId="0" fontId="14" fillId="0" borderId="0" xfId="0" applyFont="1"/>
    <xf numFmtId="0" fontId="0" fillId="2" borderId="0" xfId="0" applyFill="1"/>
    <xf numFmtId="0" fontId="0" fillId="2" borderId="7" xfId="0" applyFill="1" applyBorder="1"/>
    <xf numFmtId="0" fontId="0" fillId="2" borderId="10" xfId="0" applyFill="1" applyBorder="1"/>
    <xf numFmtId="0" fontId="19" fillId="2" borderId="0" xfId="0" applyFont="1" applyFill="1"/>
    <xf numFmtId="3" fontId="19" fillId="2" borderId="20" xfId="0" applyNumberFormat="1" applyFont="1" applyFill="1" applyBorder="1" applyProtection="1">
      <protection locked="0"/>
    </xf>
    <xf numFmtId="3" fontId="10" fillId="2" borderId="20" xfId="0" applyNumberFormat="1" applyFont="1" applyFill="1" applyBorder="1"/>
    <xf numFmtId="3" fontId="20" fillId="2" borderId="7" xfId="0" applyNumberFormat="1" applyFont="1" applyFill="1" applyBorder="1"/>
    <xf numFmtId="0" fontId="10" fillId="2" borderId="21" xfId="0" applyFont="1" applyFill="1" applyBorder="1" applyAlignment="1">
      <alignment horizontal="right"/>
    </xf>
    <xf numFmtId="169" fontId="19" fillId="2" borderId="20" xfId="0" applyNumberFormat="1" applyFont="1" applyFill="1" applyBorder="1" applyAlignment="1" applyProtection="1">
      <alignment horizontal="center"/>
      <protection locked="0"/>
    </xf>
    <xf numFmtId="0" fontId="19" fillId="2" borderId="22" xfId="0" applyFont="1" applyFill="1" applyBorder="1"/>
    <xf numFmtId="3" fontId="19" fillId="2" borderId="20" xfId="0" applyNumberFormat="1" applyFont="1" applyFill="1" applyBorder="1"/>
    <xf numFmtId="0" fontId="10" fillId="2" borderId="7" xfId="0" applyFont="1" applyFill="1" applyBorder="1" applyAlignment="1">
      <alignment horizontal="right"/>
    </xf>
    <xf numFmtId="0" fontId="19" fillId="2" borderId="17" xfId="0" applyFont="1" applyFill="1" applyBorder="1" applyProtection="1">
      <protection locked="0"/>
    </xf>
    <xf numFmtId="0" fontId="19" fillId="2" borderId="18" xfId="0" applyFont="1" applyFill="1" applyBorder="1" applyProtection="1">
      <protection locked="0"/>
    </xf>
    <xf numFmtId="0" fontId="19" fillId="2" borderId="19" xfId="0" applyFont="1" applyFill="1" applyBorder="1" applyProtection="1">
      <protection locked="0"/>
    </xf>
    <xf numFmtId="0" fontId="19" fillId="2" borderId="17" xfId="0" applyFont="1" applyFill="1" applyBorder="1" applyAlignment="1" applyProtection="1">
      <alignment wrapText="1"/>
      <protection locked="0"/>
    </xf>
    <xf numFmtId="0" fontId="19" fillId="2" borderId="18" xfId="0" applyFont="1" applyFill="1" applyBorder="1" applyAlignment="1" applyProtection="1">
      <alignment wrapText="1"/>
      <protection locked="0"/>
    </xf>
    <xf numFmtId="0" fontId="19" fillId="2" borderId="19" xfId="0" applyFont="1" applyFill="1" applyBorder="1" applyAlignment="1" applyProtection="1">
      <alignment wrapText="1"/>
      <protection locked="0"/>
    </xf>
    <xf numFmtId="0" fontId="19" fillId="2" borderId="17" xfId="0" applyFont="1" applyFill="1" applyBorder="1"/>
    <xf numFmtId="0" fontId="19" fillId="2" borderId="18" xfId="0" applyFont="1" applyFill="1" applyBorder="1"/>
    <xf numFmtId="0" fontId="19" fillId="2" borderId="19" xfId="0" applyFont="1" applyFill="1" applyBorder="1"/>
    <xf numFmtId="0" fontId="0" fillId="2" borderId="0" xfId="0" applyFill="1" applyBorder="1"/>
    <xf numFmtId="0" fontId="10" fillId="2" borderId="0" xfId="0" applyFont="1" applyFill="1" applyBorder="1"/>
    <xf numFmtId="0" fontId="11" fillId="2" borderId="0" xfId="0" applyFont="1" applyFill="1" applyBorder="1"/>
    <xf numFmtId="0" fontId="40" fillId="2" borderId="0" xfId="0" applyFont="1" applyFill="1" applyBorder="1" applyAlignment="1">
      <alignment horizontal="left"/>
    </xf>
    <xf numFmtId="1" fontId="11" fillId="2" borderId="0" xfId="0" applyNumberFormat="1" applyFont="1" applyFill="1" applyBorder="1" applyAlignment="1">
      <alignment horizontal="left"/>
    </xf>
    <xf numFmtId="1" fontId="40" fillId="2" borderId="0" xfId="0" applyNumberFormat="1" applyFont="1" applyFill="1" applyBorder="1" applyAlignment="1">
      <alignment horizontal="left"/>
    </xf>
    <xf numFmtId="0" fontId="12" fillId="2" borderId="0" xfId="0" applyFont="1" applyFill="1" applyBorder="1" applyAlignment="1">
      <alignment horizontal="left"/>
    </xf>
    <xf numFmtId="0" fontId="19" fillId="2" borderId="0" xfId="0" applyFont="1" applyFill="1" applyBorder="1"/>
    <xf numFmtId="0" fontId="42" fillId="2" borderId="0" xfId="0" applyFont="1" applyFill="1" applyBorder="1" applyAlignment="1">
      <alignment wrapText="1"/>
    </xf>
    <xf numFmtId="0" fontId="43" fillId="0" borderId="0" xfId="0" applyFont="1" applyBorder="1" applyAlignment="1">
      <alignment wrapText="1"/>
    </xf>
    <xf numFmtId="0" fontId="10" fillId="2" borderId="0" xfId="0" applyFont="1" applyFill="1" applyBorder="1" applyAlignment="1">
      <alignment horizontal="right"/>
    </xf>
    <xf numFmtId="0" fontId="14" fillId="2" borderId="0" xfId="0" applyFont="1" applyFill="1" applyBorder="1"/>
    <xf numFmtId="3" fontId="19" fillId="2" borderId="0" xfId="0" applyNumberFormat="1" applyFont="1" applyFill="1" applyBorder="1"/>
    <xf numFmtId="3" fontId="8" fillId="2" borderId="0" xfId="0" applyNumberFormat="1" applyFont="1" applyFill="1" applyBorder="1" applyAlignment="1">
      <alignment horizontal="center"/>
    </xf>
    <xf numFmtId="3" fontId="10" fillId="2" borderId="0" xfId="0" applyNumberFormat="1" applyFont="1" applyFill="1" applyBorder="1"/>
    <xf numFmtId="0" fontId="19" fillId="0" borderId="0" xfId="0" applyFont="1" applyBorder="1"/>
    <xf numFmtId="3" fontId="30" fillId="2" borderId="0" xfId="0" applyNumberFormat="1" applyFont="1" applyFill="1" applyBorder="1"/>
    <xf numFmtId="3" fontId="44" fillId="2" borderId="0" xfId="0" applyNumberFormat="1" applyFont="1" applyFill="1" applyBorder="1"/>
    <xf numFmtId="0" fontId="42" fillId="2" borderId="0" xfId="0" applyFont="1" applyFill="1" applyBorder="1"/>
    <xf numFmtId="3" fontId="10" fillId="2" borderId="0" xfId="0" applyNumberFormat="1" applyFont="1" applyFill="1" applyBorder="1" applyAlignment="1">
      <alignment horizontal="right"/>
    </xf>
    <xf numFmtId="0" fontId="16" fillId="2" borderId="0" xfId="0" applyFont="1" applyFill="1" applyBorder="1"/>
    <xf numFmtId="3" fontId="18" fillId="2" borderId="0" xfId="0" applyNumberFormat="1" applyFont="1" applyFill="1" applyBorder="1"/>
    <xf numFmtId="3" fontId="17" fillId="2" borderId="0" xfId="0" applyNumberFormat="1" applyFont="1" applyFill="1" applyBorder="1"/>
    <xf numFmtId="3" fontId="20" fillId="2" borderId="0" xfId="0" applyNumberFormat="1" applyFont="1" applyFill="1" applyBorder="1"/>
    <xf numFmtId="0" fontId="0" fillId="0" borderId="0" xfId="0" applyBorder="1"/>
    <xf numFmtId="0" fontId="10" fillId="2" borderId="0" xfId="0" applyFont="1" applyFill="1" applyBorder="1" applyAlignment="1">
      <alignment horizontal="center"/>
    </xf>
    <xf numFmtId="0" fontId="19" fillId="2" borderId="0" xfId="0" applyFont="1" applyFill="1" applyBorder="1" applyAlignment="1">
      <alignment horizontal="center"/>
    </xf>
    <xf numFmtId="170" fontId="19" fillId="2" borderId="0" xfId="0" applyNumberFormat="1" applyFont="1" applyFill="1" applyBorder="1" applyAlignment="1">
      <alignment horizontal="center"/>
    </xf>
    <xf numFmtId="170" fontId="10" fillId="2" borderId="0" xfId="0" applyNumberFormat="1" applyFont="1" applyFill="1" applyBorder="1" applyAlignment="1">
      <alignment horizontal="center"/>
    </xf>
    <xf numFmtId="3" fontId="19" fillId="2" borderId="0" xfId="0" applyNumberFormat="1" applyFont="1" applyFill="1" applyBorder="1" applyAlignment="1">
      <alignment horizontal="center"/>
    </xf>
    <xf numFmtId="0" fontId="19" fillId="0" borderId="0" xfId="0" applyFont="1" applyBorder="1" applyAlignment="1">
      <alignment wrapText="1"/>
    </xf>
    <xf numFmtId="0" fontId="45" fillId="2" borderId="0" xfId="0" applyFont="1" applyFill="1" applyBorder="1" applyAlignment="1">
      <alignment wrapText="1"/>
    </xf>
    <xf numFmtId="0" fontId="27" fillId="2" borderId="0" xfId="0" applyFont="1" applyFill="1" applyBorder="1" applyAlignment="1">
      <alignment horizontal="right"/>
    </xf>
    <xf numFmtId="1" fontId="19" fillId="2" borderId="0" xfId="0" applyNumberFormat="1" applyFont="1" applyFill="1" applyBorder="1"/>
    <xf numFmtId="0" fontId="11" fillId="2" borderId="0" xfId="0" applyFont="1" applyFill="1" applyBorder="1" applyAlignment="1">
      <alignment wrapText="1"/>
    </xf>
    <xf numFmtId="0" fontId="10" fillId="0" borderId="0" xfId="0" applyFont="1" applyBorder="1" applyAlignment="1">
      <alignment wrapText="1"/>
    </xf>
    <xf numFmtId="3" fontId="14" fillId="2" borderId="0" xfId="0" applyNumberFormat="1" applyFont="1" applyFill="1" applyBorder="1" applyAlignment="1">
      <alignment horizontal="right"/>
    </xf>
    <xf numFmtId="0" fontId="14" fillId="2" borderId="0" xfId="0" applyFont="1" applyFill="1" applyBorder="1" applyAlignment="1">
      <alignment horizontal="right"/>
    </xf>
    <xf numFmtId="3" fontId="14" fillId="2" borderId="0" xfId="0" applyNumberFormat="1" applyFont="1" applyFill="1" applyBorder="1" applyAlignment="1">
      <alignment horizontal="right" wrapText="1"/>
    </xf>
    <xf numFmtId="0" fontId="14" fillId="2" borderId="0" xfId="0" applyFont="1" applyFill="1" applyBorder="1" applyAlignment="1">
      <alignment horizontal="right" wrapText="1"/>
    </xf>
    <xf numFmtId="0" fontId="12" fillId="2" borderId="0" xfId="0" applyFont="1" applyFill="1" applyBorder="1" applyAlignment="1">
      <alignment horizontal="right" wrapText="1"/>
    </xf>
    <xf numFmtId="0" fontId="10" fillId="2" borderId="0" xfId="0" applyFont="1" applyFill="1" applyBorder="1" applyAlignment="1">
      <alignment horizontal="right" wrapText="1"/>
    </xf>
    <xf numFmtId="0" fontId="10" fillId="2" borderId="0" xfId="0" applyFont="1" applyFill="1" applyBorder="1" applyAlignment="1">
      <alignment wrapText="1"/>
    </xf>
    <xf numFmtId="0" fontId="39" fillId="9" borderId="1" xfId="0" applyFont="1" applyFill="1" applyBorder="1"/>
    <xf numFmtId="0" fontId="39" fillId="9" borderId="2" xfId="0" applyFont="1" applyFill="1" applyBorder="1"/>
    <xf numFmtId="0" fontId="39" fillId="9" borderId="3" xfId="0" applyFont="1" applyFill="1" applyBorder="1"/>
    <xf numFmtId="0" fontId="10" fillId="9" borderId="1" xfId="0" applyFont="1" applyFill="1" applyBorder="1"/>
    <xf numFmtId="0" fontId="11" fillId="9" borderId="2" xfId="0" applyFont="1" applyFill="1" applyBorder="1"/>
    <xf numFmtId="0" fontId="13" fillId="9" borderId="2" xfId="0" applyFont="1" applyFill="1" applyBorder="1" applyAlignment="1">
      <alignment horizontal="left"/>
    </xf>
    <xf numFmtId="0" fontId="13" fillId="9" borderId="2" xfId="0" applyFont="1" applyFill="1" applyBorder="1"/>
    <xf numFmtId="3" fontId="41" fillId="9" borderId="2" xfId="0" applyNumberFormat="1" applyFont="1" applyFill="1" applyBorder="1" applyAlignment="1">
      <alignment horizontal="center"/>
    </xf>
    <xf numFmtId="3" fontId="13" fillId="9" borderId="2" xfId="0" applyNumberFormat="1" applyFont="1" applyFill="1" applyBorder="1"/>
    <xf numFmtId="0" fontId="13" fillId="9" borderId="3" xfId="0" applyFont="1" applyFill="1" applyBorder="1"/>
    <xf numFmtId="0" fontId="10" fillId="9" borderId="2" xfId="0" applyFont="1" applyFill="1" applyBorder="1"/>
    <xf numFmtId="0" fontId="10" fillId="9" borderId="2" xfId="0" applyFont="1" applyFill="1" applyBorder="1" applyAlignment="1">
      <alignment horizontal="right"/>
    </xf>
    <xf numFmtId="0" fontId="14" fillId="9" borderId="2" xfId="0" applyFont="1" applyFill="1" applyBorder="1" applyAlignment="1">
      <alignment horizontal="right"/>
    </xf>
    <xf numFmtId="0" fontId="14" fillId="9" borderId="3" xfId="0" applyFont="1" applyFill="1" applyBorder="1" applyAlignment="1">
      <alignment horizontal="right"/>
    </xf>
    <xf numFmtId="3" fontId="14" fillId="9" borderId="20" xfId="0" applyNumberFormat="1" applyFont="1" applyFill="1" applyBorder="1"/>
    <xf numFmtId="0" fontId="13" fillId="9" borderId="2" xfId="0" applyFont="1" applyFill="1" applyBorder="1" applyAlignment="1">
      <alignment horizontal="right"/>
    </xf>
    <xf numFmtId="3" fontId="41" fillId="9" borderId="2" xfId="0" applyNumberFormat="1" applyFont="1" applyFill="1" applyBorder="1"/>
    <xf numFmtId="3" fontId="13" fillId="9" borderId="3" xfId="0" applyNumberFormat="1" applyFont="1" applyFill="1" applyBorder="1" applyAlignment="1">
      <alignment horizontal="right"/>
    </xf>
    <xf numFmtId="3" fontId="14" fillId="9" borderId="2" xfId="0" applyNumberFormat="1" applyFont="1" applyFill="1" applyBorder="1" applyAlignment="1">
      <alignment horizontal="right"/>
    </xf>
    <xf numFmtId="3" fontId="14" fillId="9" borderId="3" xfId="0" applyNumberFormat="1" applyFont="1" applyFill="1" applyBorder="1" applyAlignment="1">
      <alignment horizontal="right"/>
    </xf>
    <xf numFmtId="0" fontId="0" fillId="2" borderId="0" xfId="0" applyFill="1" applyAlignment="1">
      <alignment horizontal="right"/>
    </xf>
    <xf numFmtId="0" fontId="8" fillId="2" borderId="0" xfId="0" applyFont="1" applyFill="1"/>
    <xf numFmtId="0" fontId="0" fillId="2" borderId="0" xfId="0" applyFill="1" applyAlignment="1" applyProtection="1">
      <alignment horizontal="right"/>
      <protection hidden="1"/>
    </xf>
    <xf numFmtId="0" fontId="0" fillId="2" borderId="0" xfId="0" applyFill="1" applyAlignment="1" applyProtection="1">
      <alignment vertical="top"/>
      <protection hidden="1"/>
    </xf>
    <xf numFmtId="1" fontId="8" fillId="2" borderId="0" xfId="0" applyNumberFormat="1" applyFont="1" applyFill="1" applyAlignment="1" applyProtection="1">
      <alignment vertical="top"/>
      <protection hidden="1"/>
    </xf>
    <xf numFmtId="0" fontId="8" fillId="2" borderId="0" xfId="0" applyFont="1" applyFill="1" applyAlignment="1" applyProtection="1">
      <alignment vertical="top"/>
      <protection hidden="1"/>
    </xf>
    <xf numFmtId="3" fontId="8" fillId="2" borderId="0" xfId="0" applyNumberFormat="1" applyFont="1" applyFill="1" applyAlignment="1" applyProtection="1">
      <alignment vertical="top"/>
      <protection hidden="1"/>
    </xf>
    <xf numFmtId="0" fontId="19" fillId="2" borderId="0" xfId="0" quotePrefix="1" applyFont="1" applyFill="1" applyAlignment="1" applyProtection="1">
      <alignment horizontal="right"/>
      <protection hidden="1"/>
    </xf>
    <xf numFmtId="0" fontId="46" fillId="2" borderId="0" xfId="0" applyFont="1" applyFill="1" applyAlignment="1" applyProtection="1">
      <alignment vertical="top"/>
      <protection hidden="1"/>
    </xf>
    <xf numFmtId="0" fontId="0" fillId="2" borderId="0" xfId="0" quotePrefix="1" applyFill="1" applyAlignment="1" applyProtection="1">
      <alignment horizontal="right"/>
      <protection hidden="1"/>
    </xf>
    <xf numFmtId="0" fontId="0" fillId="2" borderId="5" xfId="0" applyFill="1" applyBorder="1" applyAlignment="1" applyProtection="1">
      <alignment horizontal="right"/>
      <protection hidden="1"/>
    </xf>
    <xf numFmtId="0" fontId="0" fillId="2" borderId="9" xfId="0"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40" fillId="2" borderId="0" xfId="0" applyFont="1" applyFill="1" applyAlignment="1" applyProtection="1">
      <alignment horizontal="left"/>
      <protection hidden="1"/>
    </xf>
    <xf numFmtId="1" fontId="40" fillId="2" borderId="0" xfId="0" applyNumberFormat="1" applyFont="1" applyFill="1" applyAlignment="1" applyProtection="1">
      <alignment horizontal="left"/>
      <protection hidden="1"/>
    </xf>
    <xf numFmtId="0" fontId="19" fillId="2" borderId="5" xfId="0" applyFont="1" applyFill="1" applyBorder="1" applyAlignment="1" applyProtection="1">
      <alignment horizontal="right"/>
      <protection hidden="1"/>
    </xf>
    <xf numFmtId="0" fontId="43" fillId="0" borderId="5" xfId="0" applyFont="1" applyBorder="1" applyAlignment="1" applyProtection="1">
      <alignment wrapText="1"/>
      <protection hidden="1"/>
    </xf>
    <xf numFmtId="3" fontId="44" fillId="2" borderId="0" xfId="0" applyNumberFormat="1" applyFont="1" applyFill="1" applyProtection="1">
      <protection hidden="1"/>
    </xf>
    <xf numFmtId="0" fontId="19" fillId="2" borderId="5" xfId="0" applyFont="1" applyFill="1" applyBorder="1" applyProtection="1">
      <protection hidden="1"/>
    </xf>
    <xf numFmtId="0" fontId="14" fillId="2" borderId="4" xfId="0" applyFont="1" applyFill="1" applyBorder="1" applyProtection="1">
      <protection hidden="1"/>
    </xf>
    <xf numFmtId="0" fontId="19" fillId="2" borderId="0" xfId="0" applyFont="1" applyFill="1" applyProtection="1">
      <protection hidden="1"/>
    </xf>
    <xf numFmtId="3" fontId="19" fillId="2" borderId="0" xfId="0" applyNumberFormat="1" applyFont="1" applyFill="1" applyProtection="1">
      <protection hidden="1"/>
    </xf>
    <xf numFmtId="3" fontId="19" fillId="0" borderId="20" xfId="0" applyNumberFormat="1" applyFont="1" applyBorder="1" applyProtection="1">
      <protection hidden="1"/>
    </xf>
    <xf numFmtId="0" fontId="19" fillId="2" borderId="0" xfId="0" applyFont="1" applyFill="1" applyAlignment="1" applyProtection="1">
      <alignment horizontal="right"/>
      <protection hidden="1"/>
    </xf>
    <xf numFmtId="0" fontId="48" fillId="6" borderId="4" xfId="0" applyFont="1" applyFill="1" applyBorder="1" applyAlignment="1">
      <alignment wrapText="1"/>
    </xf>
    <xf numFmtId="0" fontId="0" fillId="6" borderId="0" xfId="0" applyFill="1" applyAlignment="1">
      <alignment wrapText="1"/>
    </xf>
    <xf numFmtId="3" fontId="10" fillId="2" borderId="0" xfId="0" applyNumberFormat="1" applyFont="1" applyFill="1" applyProtection="1">
      <protection hidden="1"/>
    </xf>
    <xf numFmtId="3" fontId="10" fillId="2" borderId="20" xfId="0" applyNumberFormat="1" applyFont="1" applyFill="1" applyBorder="1" applyProtection="1">
      <protection hidden="1"/>
    </xf>
    <xf numFmtId="0" fontId="19" fillId="2" borderId="4" xfId="0" applyFont="1" applyFill="1" applyBorder="1" applyProtection="1">
      <protection hidden="1"/>
    </xf>
    <xf numFmtId="3" fontId="30" fillId="2" borderId="0" xfId="0" applyNumberFormat="1" applyFont="1" applyFill="1" applyProtection="1">
      <protection hidden="1"/>
    </xf>
    <xf numFmtId="0" fontId="19" fillId="2" borderId="10" xfId="0" applyFont="1" applyFill="1" applyBorder="1" applyProtection="1">
      <protection hidden="1"/>
    </xf>
    <xf numFmtId="0" fontId="10" fillId="2" borderId="10" xfId="0" applyFont="1" applyFill="1" applyBorder="1" applyProtection="1">
      <protection hidden="1"/>
    </xf>
    <xf numFmtId="3" fontId="30" fillId="2" borderId="10" xfId="0" applyNumberFormat="1" applyFont="1" applyFill="1" applyBorder="1" applyProtection="1">
      <protection hidden="1"/>
    </xf>
    <xf numFmtId="3" fontId="44" fillId="2" borderId="10" xfId="0" applyNumberFormat="1" applyFont="1" applyFill="1" applyBorder="1" applyProtection="1">
      <protection hidden="1"/>
    </xf>
    <xf numFmtId="0" fontId="10" fillId="2" borderId="10" xfId="0" applyFont="1" applyFill="1" applyBorder="1" applyAlignment="1" applyProtection="1">
      <alignment horizontal="right"/>
      <protection hidden="1"/>
    </xf>
    <xf numFmtId="0" fontId="19" fillId="2" borderId="7" xfId="0" applyFont="1" applyFill="1" applyBorder="1" applyProtection="1">
      <protection hidden="1"/>
    </xf>
    <xf numFmtId="0" fontId="10" fillId="2" borderId="7" xfId="0" applyFont="1" applyFill="1" applyBorder="1" applyProtection="1">
      <protection hidden="1"/>
    </xf>
    <xf numFmtId="3" fontId="30" fillId="2" borderId="7" xfId="0" applyNumberFormat="1" applyFont="1" applyFill="1" applyBorder="1" applyProtection="1">
      <protection hidden="1"/>
    </xf>
    <xf numFmtId="3" fontId="44" fillId="2" borderId="7" xfId="0" applyNumberFormat="1" applyFont="1" applyFill="1" applyBorder="1" applyProtection="1">
      <protection hidden="1"/>
    </xf>
    <xf numFmtId="0" fontId="10" fillId="2" borderId="7" xfId="0" applyFont="1" applyFill="1" applyBorder="1" applyAlignment="1" applyProtection="1">
      <alignment horizontal="right"/>
      <protection hidden="1"/>
    </xf>
    <xf numFmtId="0" fontId="42" fillId="2" borderId="4" xfId="0" applyFont="1" applyFill="1" applyBorder="1" applyProtection="1">
      <protection hidden="1"/>
    </xf>
    <xf numFmtId="3" fontId="19" fillId="2" borderId="20" xfId="0" applyNumberFormat="1" applyFont="1" applyFill="1" applyBorder="1" applyProtection="1">
      <protection hidden="1"/>
    </xf>
    <xf numFmtId="0" fontId="10" fillId="2" borderId="21" xfId="0" applyFont="1" applyFill="1" applyBorder="1" applyAlignment="1" applyProtection="1">
      <alignment horizontal="right"/>
      <protection hidden="1"/>
    </xf>
    <xf numFmtId="3" fontId="20" fillId="2" borderId="0" xfId="0" applyNumberFormat="1" applyFont="1" applyFill="1" applyProtection="1">
      <protection hidden="1"/>
    </xf>
    <xf numFmtId="0" fontId="10" fillId="2" borderId="0" xfId="0" applyFont="1" applyFill="1" applyAlignment="1" applyProtection="1">
      <alignment horizontal="center"/>
      <protection hidden="1"/>
    </xf>
    <xf numFmtId="0" fontId="10" fillId="2" borderId="5" xfId="0" applyFont="1" applyFill="1" applyBorder="1" applyAlignment="1" applyProtection="1">
      <alignment horizontal="right"/>
      <protection hidden="1"/>
    </xf>
    <xf numFmtId="0" fontId="19" fillId="2" borderId="0" xfId="0" applyFont="1" applyFill="1" applyAlignment="1" applyProtection="1">
      <alignment horizontal="center"/>
      <protection hidden="1"/>
    </xf>
    <xf numFmtId="169" fontId="19" fillId="2" borderId="20" xfId="0" applyNumberFormat="1" applyFont="1" applyFill="1" applyBorder="1" applyAlignment="1" applyProtection="1">
      <alignment horizontal="center"/>
      <protection hidden="1"/>
    </xf>
    <xf numFmtId="3" fontId="19" fillId="2" borderId="5" xfId="0" applyNumberFormat="1" applyFont="1" applyFill="1" applyBorder="1" applyProtection="1">
      <protection hidden="1"/>
    </xf>
    <xf numFmtId="170" fontId="19" fillId="2" borderId="0" xfId="0" applyNumberFormat="1" applyFont="1" applyFill="1" applyAlignment="1" applyProtection="1">
      <alignment horizontal="center"/>
      <protection hidden="1"/>
    </xf>
    <xf numFmtId="170" fontId="10" fillId="2" borderId="0" xfId="0" applyNumberFormat="1" applyFont="1" applyFill="1" applyAlignment="1" applyProtection="1">
      <alignment horizontal="center"/>
      <protection hidden="1"/>
    </xf>
    <xf numFmtId="3" fontId="19" fillId="2" borderId="0" xfId="0" applyNumberFormat="1" applyFont="1" applyFill="1" applyAlignment="1" applyProtection="1">
      <alignment horizontal="center"/>
      <protection hidden="1"/>
    </xf>
    <xf numFmtId="0" fontId="19" fillId="0" borderId="5" xfId="0" applyFont="1" applyBorder="1" applyProtection="1">
      <protection hidden="1"/>
    </xf>
    <xf numFmtId="0" fontId="19" fillId="0" borderId="0" xfId="0" applyFont="1" applyAlignment="1" applyProtection="1">
      <alignment wrapText="1"/>
      <protection hidden="1"/>
    </xf>
    <xf numFmtId="0" fontId="19" fillId="2" borderId="6" xfId="0" applyFont="1" applyFill="1" applyBorder="1" applyProtection="1">
      <protection hidden="1"/>
    </xf>
    <xf numFmtId="0" fontId="19" fillId="2" borderId="8" xfId="0" applyFont="1" applyFill="1" applyBorder="1" applyProtection="1">
      <protection hidden="1"/>
    </xf>
    <xf numFmtId="0" fontId="19" fillId="2" borderId="9" xfId="0" applyFont="1" applyFill="1" applyBorder="1" applyProtection="1">
      <protection hidden="1"/>
    </xf>
    <xf numFmtId="0" fontId="19" fillId="2" borderId="11" xfId="0" applyFont="1" applyFill="1" applyBorder="1" applyProtection="1">
      <protection hidden="1"/>
    </xf>
    <xf numFmtId="0" fontId="16" fillId="2" borderId="7" xfId="0" applyFont="1" applyFill="1" applyBorder="1" applyProtection="1">
      <protection hidden="1"/>
    </xf>
    <xf numFmtId="3" fontId="18" fillId="2" borderId="7" xfId="0" applyNumberFormat="1" applyFont="1" applyFill="1" applyBorder="1" applyProtection="1">
      <protection hidden="1"/>
    </xf>
    <xf numFmtId="0" fontId="10" fillId="2" borderId="22" xfId="0" applyFont="1" applyFill="1" applyBorder="1" applyAlignment="1" applyProtection="1">
      <alignment horizontal="right"/>
      <protection hidden="1"/>
    </xf>
    <xf numFmtId="0" fontId="27" fillId="2" borderId="0" xfId="0" applyFont="1" applyFill="1" applyAlignment="1" applyProtection="1">
      <alignment horizontal="right"/>
      <protection hidden="1"/>
    </xf>
    <xf numFmtId="1" fontId="19" fillId="2" borderId="4" xfId="0" applyNumberFormat="1" applyFont="1" applyFill="1" applyBorder="1" applyProtection="1">
      <protection hidden="1"/>
    </xf>
    <xf numFmtId="0" fontId="16" fillId="2" borderId="5" xfId="0" applyFont="1" applyFill="1" applyBorder="1" applyAlignment="1" applyProtection="1">
      <alignment horizontal="right"/>
      <protection hidden="1"/>
    </xf>
    <xf numFmtId="0" fontId="10" fillId="0" borderId="0" xfId="0" applyFont="1" applyAlignment="1" applyProtection="1">
      <alignment horizontal="left" wrapText="1"/>
      <protection hidden="1"/>
    </xf>
    <xf numFmtId="3" fontId="14" fillId="2" borderId="0" xfId="0" applyNumberFormat="1" applyFont="1" applyFill="1" applyAlignment="1" applyProtection="1">
      <alignment horizontal="right"/>
      <protection hidden="1"/>
    </xf>
    <xf numFmtId="0" fontId="14" fillId="2" borderId="0" xfId="0" applyFont="1" applyFill="1" applyAlignment="1" applyProtection="1">
      <alignment horizontal="right"/>
      <protection hidden="1"/>
    </xf>
    <xf numFmtId="0" fontId="16" fillId="2" borderId="5" xfId="0" applyFont="1" applyFill="1" applyBorder="1" applyProtection="1">
      <protection hidden="1"/>
    </xf>
    <xf numFmtId="0" fontId="11" fillId="2" borderId="0" xfId="0" applyFont="1" applyFill="1" applyAlignment="1" applyProtection="1">
      <alignment horizontal="left" wrapText="1"/>
      <protection hidden="1"/>
    </xf>
    <xf numFmtId="3" fontId="14" fillId="2" borderId="0" xfId="0" applyNumberFormat="1" applyFont="1" applyFill="1" applyAlignment="1" applyProtection="1">
      <alignment horizontal="right" wrapText="1"/>
      <protection hidden="1"/>
    </xf>
    <xf numFmtId="0" fontId="14" fillId="2" borderId="0" xfId="0" applyFont="1" applyFill="1" applyAlignment="1" applyProtection="1">
      <alignment horizontal="right" wrapText="1"/>
      <protection hidden="1"/>
    </xf>
    <xf numFmtId="0" fontId="12" fillId="2" borderId="0" xfId="0" applyFont="1" applyFill="1" applyAlignment="1" applyProtection="1">
      <alignment horizontal="right" wrapText="1"/>
      <protection hidden="1"/>
    </xf>
    <xf numFmtId="0" fontId="10" fillId="2" borderId="0" xfId="0" applyFont="1" applyFill="1" applyAlignment="1" applyProtection="1">
      <alignment horizontal="left" wrapText="1"/>
      <protection hidden="1"/>
    </xf>
    <xf numFmtId="0" fontId="10" fillId="6" borderId="0" xfId="0" applyFont="1" applyFill="1" applyAlignment="1" applyProtection="1">
      <alignment horizontal="left" wrapText="1"/>
      <protection hidden="1"/>
    </xf>
    <xf numFmtId="0" fontId="10" fillId="2" borderId="7" xfId="0" applyFont="1" applyFill="1" applyBorder="1" applyAlignment="1" applyProtection="1">
      <alignment horizontal="center"/>
      <protection hidden="1"/>
    </xf>
    <xf numFmtId="0" fontId="50" fillId="0" borderId="0" xfId="0" applyFont="1"/>
    <xf numFmtId="0" fontId="51" fillId="0" borderId="0" xfId="0" applyFont="1"/>
    <xf numFmtId="0" fontId="6" fillId="0" borderId="0" xfId="2" quotePrefix="1" applyAlignment="1" applyProtection="1">
      <protection locked="0"/>
    </xf>
    <xf numFmtId="0" fontId="13" fillId="3" borderId="12" xfId="0" applyFont="1" applyFill="1" applyBorder="1" applyAlignment="1" applyProtection="1">
      <alignment horizontal="center" vertical="center"/>
      <protection locked="0"/>
    </xf>
    <xf numFmtId="0" fontId="10" fillId="9" borderId="1" xfId="0" applyFont="1" applyFill="1" applyBorder="1" applyProtection="1">
      <protection hidden="1"/>
    </xf>
    <xf numFmtId="0" fontId="10" fillId="9" borderId="2" xfId="0" applyFont="1" applyFill="1" applyBorder="1" applyProtection="1">
      <protection hidden="1"/>
    </xf>
    <xf numFmtId="0" fontId="13" fillId="9" borderId="2" xfId="0" applyFont="1" applyFill="1" applyBorder="1" applyProtection="1">
      <protection hidden="1"/>
    </xf>
    <xf numFmtId="0" fontId="10" fillId="9" borderId="2" xfId="0" applyFont="1" applyFill="1" applyBorder="1" applyAlignment="1" applyProtection="1">
      <alignment horizontal="right"/>
      <protection hidden="1"/>
    </xf>
    <xf numFmtId="0" fontId="14" fillId="9" borderId="2" xfId="0" applyFont="1" applyFill="1" applyBorder="1" applyAlignment="1" applyProtection="1">
      <alignment horizontal="right"/>
      <protection hidden="1"/>
    </xf>
    <xf numFmtId="0" fontId="14" fillId="9" borderId="3" xfId="0" applyFont="1" applyFill="1" applyBorder="1" applyAlignment="1" applyProtection="1">
      <alignment horizontal="right"/>
      <protection hidden="1"/>
    </xf>
    <xf numFmtId="3" fontId="14" fillId="9" borderId="20" xfId="0" applyNumberFormat="1" applyFont="1" applyFill="1" applyBorder="1" applyProtection="1">
      <protection hidden="1"/>
    </xf>
    <xf numFmtId="0" fontId="39" fillId="9" borderId="1" xfId="0" applyFont="1" applyFill="1" applyBorder="1" applyProtection="1">
      <protection hidden="1"/>
    </xf>
    <xf numFmtId="0" fontId="0" fillId="9" borderId="2" xfId="0" applyFill="1" applyBorder="1" applyProtection="1">
      <protection hidden="1"/>
    </xf>
    <xf numFmtId="0" fontId="0" fillId="9" borderId="3" xfId="0" applyFill="1" applyBorder="1" applyProtection="1">
      <protection hidden="1"/>
    </xf>
    <xf numFmtId="0" fontId="0" fillId="0" borderId="0" xfId="0" applyAlignment="1" applyProtection="1">
      <alignment wrapText="1"/>
      <protection hidden="1"/>
    </xf>
    <xf numFmtId="0" fontId="47" fillId="2" borderId="4" xfId="0" applyFont="1" applyFill="1" applyBorder="1" applyAlignment="1" applyProtection="1">
      <alignment wrapText="1"/>
      <protection hidden="1"/>
    </xf>
    <xf numFmtId="0" fontId="19" fillId="0" borderId="23" xfId="0" applyFont="1" applyBorder="1" applyProtection="1">
      <protection hidden="1"/>
    </xf>
    <xf numFmtId="0" fontId="19" fillId="0" borderId="24" xfId="0" applyFont="1" applyBorder="1" applyProtection="1">
      <protection hidden="1"/>
    </xf>
    <xf numFmtId="0" fontId="19" fillId="0" borderId="25" xfId="0" applyFont="1" applyBorder="1" applyProtection="1">
      <protection hidden="1"/>
    </xf>
    <xf numFmtId="0" fontId="19" fillId="0" borderId="26" xfId="0" applyFont="1" applyBorder="1" applyProtection="1">
      <protection hidden="1"/>
    </xf>
    <xf numFmtId="0" fontId="19" fillId="0" borderId="22" xfId="0" applyFont="1" applyBorder="1" applyProtection="1">
      <protection hidden="1"/>
    </xf>
    <xf numFmtId="0" fontId="19" fillId="0" borderId="27" xfId="0" applyFont="1" applyBorder="1" applyProtection="1">
      <protection hidden="1"/>
    </xf>
    <xf numFmtId="0" fontId="47" fillId="6" borderId="28" xfId="0" applyFont="1" applyFill="1" applyBorder="1" applyAlignment="1" applyProtection="1">
      <alignment wrapText="1"/>
      <protection hidden="1"/>
    </xf>
    <xf numFmtId="0" fontId="0" fillId="0" borderId="29" xfId="0" applyBorder="1" applyAlignment="1">
      <alignment wrapText="1"/>
    </xf>
    <xf numFmtId="0" fontId="0" fillId="0" borderId="30" xfId="0" applyBorder="1" applyAlignment="1">
      <alignment wrapText="1"/>
    </xf>
    <xf numFmtId="0" fontId="48" fillId="6" borderId="31" xfId="0" applyFont="1" applyFill="1" applyBorder="1" applyAlignment="1">
      <alignment wrapText="1"/>
    </xf>
    <xf numFmtId="0" fontId="0" fillId="0" borderId="32" xfId="0" applyBorder="1" applyAlignment="1">
      <alignment wrapText="1"/>
    </xf>
    <xf numFmtId="0" fontId="0" fillId="0" borderId="33" xfId="0" applyBorder="1" applyAlignment="1">
      <alignment wrapText="1"/>
    </xf>
    <xf numFmtId="0" fontId="48" fillId="0" borderId="4" xfId="0" applyFont="1" applyBorder="1" applyAlignment="1">
      <alignment wrapText="1"/>
    </xf>
    <xf numFmtId="0" fontId="48" fillId="0" borderId="0" xfId="0" applyFont="1" applyAlignment="1">
      <alignment wrapText="1"/>
    </xf>
    <xf numFmtId="0" fontId="0" fillId="0" borderId="4" xfId="0" applyBorder="1" applyAlignment="1">
      <alignment wrapText="1"/>
    </xf>
    <xf numFmtId="0" fontId="19" fillId="2" borderId="34" xfId="0" applyFont="1" applyFill="1" applyBorder="1" applyProtection="1">
      <protection hidden="1"/>
    </xf>
    <xf numFmtId="0" fontId="19" fillId="2" borderId="18" xfId="0" applyFont="1" applyFill="1" applyBorder="1" applyProtection="1">
      <protection hidden="1"/>
    </xf>
    <xf numFmtId="0" fontId="19" fillId="2" borderId="19" xfId="0" applyFont="1" applyFill="1" applyBorder="1" applyProtection="1">
      <protection hidden="1"/>
    </xf>
    <xf numFmtId="0" fontId="19" fillId="2" borderId="18" xfId="0" applyFont="1" applyFill="1" applyBorder="1" applyAlignment="1" applyProtection="1">
      <alignment wrapText="1"/>
      <protection hidden="1"/>
    </xf>
    <xf numFmtId="0" fontId="19" fillId="2" borderId="19" xfId="0" applyFont="1" applyFill="1" applyBorder="1" applyAlignment="1" applyProtection="1">
      <alignment wrapText="1"/>
      <protection hidden="1"/>
    </xf>
    <xf numFmtId="0" fontId="47" fillId="2" borderId="0" xfId="0" applyFont="1" applyFill="1" applyAlignment="1" applyProtection="1">
      <alignment wrapText="1"/>
      <protection hidden="1"/>
    </xf>
    <xf numFmtId="0" fontId="0" fillId="0" borderId="0" xfId="0" applyProtection="1">
      <protection hidden="1"/>
    </xf>
    <xf numFmtId="0" fontId="19" fillId="0" borderId="0" xfId="0" applyFont="1" applyAlignment="1" applyProtection="1">
      <alignment horizontal="left" wrapText="1"/>
      <protection hidden="1"/>
    </xf>
    <xf numFmtId="0" fontId="0" fillId="2" borderId="0" xfId="0" applyFill="1" applyAlignment="1"/>
    <xf numFmtId="0" fontId="19" fillId="2" borderId="0" xfId="0" applyFont="1" applyFill="1" applyAlignment="1">
      <alignment horizontal="right"/>
    </xf>
    <xf numFmtId="0" fontId="29" fillId="2" borderId="0" xfId="0" applyFont="1" applyFill="1" applyProtection="1">
      <protection hidden="1"/>
    </xf>
    <xf numFmtId="1" fontId="19" fillId="2" borderId="0" xfId="0" applyNumberFormat="1" applyFont="1" applyFill="1" applyProtection="1">
      <protection hidden="1"/>
    </xf>
    <xf numFmtId="0" fontId="29" fillId="2" borderId="0" xfId="0" applyFont="1" applyFill="1" applyAlignment="1" applyProtection="1">
      <alignment vertical="top"/>
      <protection hidden="1"/>
    </xf>
    <xf numFmtId="0" fontId="19" fillId="2" borderId="0" xfId="0" applyFont="1" applyFill="1" applyAlignment="1" applyProtection="1">
      <alignment vertical="top"/>
      <protection hidden="1"/>
    </xf>
    <xf numFmtId="1" fontId="19" fillId="2" borderId="0" xfId="0" applyNumberFormat="1" applyFont="1" applyFill="1" applyAlignment="1" applyProtection="1">
      <alignment vertical="top"/>
      <protection hidden="1"/>
    </xf>
    <xf numFmtId="3" fontId="19" fillId="2" borderId="0" xfId="0" applyNumberFormat="1" applyFont="1" applyFill="1" applyAlignment="1" applyProtection="1">
      <alignment vertical="top"/>
      <protection hidden="1"/>
    </xf>
    <xf numFmtId="0" fontId="19" fillId="0" borderId="0" xfId="0" applyFont="1" applyAlignment="1">
      <alignment vertical="top"/>
    </xf>
    <xf numFmtId="0" fontId="19" fillId="2" borderId="0" xfId="0" applyFont="1" applyFill="1" applyAlignment="1" applyProtection="1">
      <protection hidden="1"/>
    </xf>
    <xf numFmtId="0" fontId="19" fillId="2" borderId="0" xfId="0" applyFont="1" applyFill="1" applyAlignment="1"/>
    <xf numFmtId="0" fontId="19" fillId="6" borderId="0" xfId="0" applyFont="1" applyFill="1" applyAlignment="1" applyProtection="1">
      <alignment vertical="top"/>
      <protection hidden="1"/>
    </xf>
    <xf numFmtId="0" fontId="19" fillId="6" borderId="0" xfId="0" applyFont="1" applyFill="1" applyAlignment="1">
      <alignment vertical="top"/>
    </xf>
    <xf numFmtId="0" fontId="19" fillId="6" borderId="0" xfId="0" applyFont="1" applyFill="1" applyAlignment="1" applyProtection="1">
      <protection hidden="1"/>
    </xf>
    <xf numFmtId="0" fontId="19" fillId="6" borderId="0" xfId="0" applyFont="1" applyFill="1" applyAlignment="1"/>
    <xf numFmtId="0" fontId="52" fillId="2" borderId="0" xfId="0" applyFont="1" applyFill="1" applyProtection="1">
      <protection hidden="1"/>
    </xf>
    <xf numFmtId="0" fontId="42" fillId="2" borderId="4" xfId="0" applyFont="1" applyFill="1" applyBorder="1" applyAlignment="1" applyProtection="1">
      <protection hidden="1"/>
    </xf>
    <xf numFmtId="0" fontId="10" fillId="2" borderId="0" xfId="0" applyFont="1" applyFill="1" applyAlignment="1" applyProtection="1">
      <protection hidden="1"/>
    </xf>
    <xf numFmtId="3" fontId="30" fillId="2" borderId="0" xfId="0" applyNumberFormat="1" applyFont="1" applyFill="1" applyAlignment="1" applyProtection="1">
      <protection hidden="1"/>
    </xf>
    <xf numFmtId="3" fontId="44" fillId="2" borderId="0" xfId="0" applyNumberFormat="1" applyFont="1" applyFill="1" applyAlignment="1" applyProtection="1">
      <protection hidden="1"/>
    </xf>
    <xf numFmtId="0" fontId="19" fillId="2" borderId="5" xfId="0" applyFont="1" applyFill="1" applyBorder="1" applyAlignment="1" applyProtection="1">
      <protection hidden="1"/>
    </xf>
    <xf numFmtId="0" fontId="0" fillId="0" borderId="0" xfId="0" applyAlignment="1"/>
    <xf numFmtId="0" fontId="48" fillId="2" borderId="4" xfId="0" applyFont="1" applyFill="1" applyBorder="1" applyAlignment="1" applyProtection="1">
      <protection hidden="1"/>
    </xf>
    <xf numFmtId="0" fontId="48" fillId="0" borderId="4" xfId="0" applyFont="1" applyBorder="1" applyAlignment="1"/>
    <xf numFmtId="0" fontId="42" fillId="2" borderId="9" xfId="0" applyFont="1" applyFill="1" applyBorder="1" applyAlignment="1" applyProtection="1">
      <protection hidden="1"/>
    </xf>
    <xf numFmtId="0" fontId="0" fillId="0" borderId="10" xfId="0" applyBorder="1" applyAlignment="1" applyProtection="1">
      <protection hidden="1"/>
    </xf>
    <xf numFmtId="0" fontId="0" fillId="0" borderId="11" xfId="0" applyBorder="1" applyAlignment="1" applyProtection="1">
      <protection hidden="1"/>
    </xf>
    <xf numFmtId="0" fontId="0" fillId="0" borderId="0" xfId="0" applyBorder="1" applyAlignment="1" applyProtection="1">
      <protection hidden="1"/>
    </xf>
    <xf numFmtId="0" fontId="0" fillId="0" borderId="5" xfId="0" applyBorder="1" applyAlignment="1" applyProtection="1">
      <protection hidden="1"/>
    </xf>
    <xf numFmtId="0" fontId="0" fillId="2" borderId="9" xfId="0" applyFill="1" applyBorder="1" applyAlignment="1" applyProtection="1">
      <protection hidden="1"/>
    </xf>
    <xf numFmtId="0" fontId="0" fillId="2" borderId="10" xfId="0" applyFill="1" applyBorder="1" applyAlignment="1" applyProtection="1">
      <protection hidden="1"/>
    </xf>
    <xf numFmtId="0" fontId="49" fillId="2" borderId="4" xfId="0" applyFont="1" applyFill="1" applyBorder="1" applyAlignment="1" applyProtection="1">
      <protection hidden="1"/>
    </xf>
    <xf numFmtId="0" fontId="19" fillId="0" borderId="0" xfId="0" applyFont="1" applyAlignment="1"/>
    <xf numFmtId="0" fontId="19" fillId="2" borderId="34" xfId="0" applyFont="1" applyFill="1" applyBorder="1" applyAlignment="1" applyProtection="1">
      <protection hidden="1"/>
    </xf>
    <xf numFmtId="0" fontId="47" fillId="2" borderId="0" xfId="0" applyFont="1" applyFill="1" applyAlignment="1" applyProtection="1">
      <protection hidden="1"/>
    </xf>
    <xf numFmtId="0" fontId="45" fillId="2" borderId="4" xfId="0" applyFont="1" applyFill="1" applyBorder="1" applyAlignment="1" applyProtection="1">
      <protection hidden="1"/>
    </xf>
    <xf numFmtId="0" fontId="11" fillId="2" borderId="4" xfId="0" applyFont="1" applyFill="1" applyBorder="1" applyAlignment="1" applyProtection="1">
      <alignment horizontal="left"/>
      <protection hidden="1"/>
    </xf>
    <xf numFmtId="0" fontId="19" fillId="2" borderId="4" xfId="0" applyFont="1" applyFill="1" applyBorder="1" applyAlignment="1" applyProtection="1">
      <protection hidden="1"/>
    </xf>
    <xf numFmtId="0" fontId="11" fillId="9" borderId="2" xfId="0" applyFont="1" applyFill="1" applyBorder="1" applyProtection="1">
      <protection hidden="1"/>
    </xf>
    <xf numFmtId="0" fontId="13" fillId="9" borderId="2" xfId="0" applyFont="1" applyFill="1" applyBorder="1" applyAlignment="1" applyProtection="1">
      <alignment horizontal="left"/>
      <protection hidden="1"/>
    </xf>
    <xf numFmtId="3" fontId="41" fillId="9" borderId="2" xfId="0" applyNumberFormat="1" applyFont="1" applyFill="1" applyBorder="1" applyAlignment="1" applyProtection="1">
      <alignment horizontal="center"/>
      <protection hidden="1"/>
    </xf>
    <xf numFmtId="3" fontId="13" fillId="9" borderId="2" xfId="0" applyNumberFormat="1" applyFont="1" applyFill="1" applyBorder="1" applyProtection="1">
      <protection hidden="1"/>
    </xf>
    <xf numFmtId="0" fontId="13" fillId="9" borderId="3" xfId="0" applyFont="1" applyFill="1" applyBorder="1" applyProtection="1">
      <protection hidden="1"/>
    </xf>
    <xf numFmtId="0" fontId="13" fillId="9" borderId="2" xfId="0" applyFont="1" applyFill="1" applyBorder="1" applyAlignment="1" applyProtection="1">
      <alignment horizontal="right"/>
      <protection hidden="1"/>
    </xf>
    <xf numFmtId="3" fontId="41" fillId="9" borderId="2" xfId="0" applyNumberFormat="1" applyFont="1" applyFill="1" applyBorder="1" applyProtection="1">
      <protection hidden="1"/>
    </xf>
    <xf numFmtId="3" fontId="13" fillId="9" borderId="3" xfId="0" applyNumberFormat="1" applyFont="1" applyFill="1" applyBorder="1" applyAlignment="1" applyProtection="1">
      <alignment horizontal="right"/>
      <protection hidden="1"/>
    </xf>
    <xf numFmtId="3" fontId="14" fillId="9" borderId="2" xfId="0" applyNumberFormat="1" applyFont="1" applyFill="1" applyBorder="1" applyAlignment="1" applyProtection="1">
      <alignment horizontal="right"/>
      <protection hidden="1"/>
    </xf>
    <xf numFmtId="3" fontId="14" fillId="9" borderId="3" xfId="0" applyNumberFormat="1" applyFont="1" applyFill="1" applyBorder="1" applyAlignment="1" applyProtection="1">
      <alignment horizontal="right"/>
      <protection hidden="1"/>
    </xf>
    <xf numFmtId="0" fontId="54" fillId="2" borderId="0" xfId="0" applyFont="1" applyFill="1" applyProtection="1">
      <protection hidden="1"/>
    </xf>
    <xf numFmtId="0" fontId="55" fillId="2" borderId="0" xfId="0" applyFont="1" applyFill="1"/>
    <xf numFmtId="0" fontId="56" fillId="0" borderId="0" xfId="0" applyFont="1"/>
    <xf numFmtId="0" fontId="6" fillId="2" borderId="0" xfId="2" applyFill="1" applyAlignment="1" applyProtection="1">
      <protection locked="0"/>
    </xf>
    <xf numFmtId="0" fontId="6" fillId="0" borderId="0" xfId="2" applyAlignment="1" applyProtection="1">
      <protection locked="0"/>
    </xf>
    <xf numFmtId="0" fontId="31" fillId="0" borderId="0" xfId="0" applyFont="1" applyProtection="1">
      <protection hidden="1"/>
    </xf>
    <xf numFmtId="0" fontId="23" fillId="2" borderId="0" xfId="0" applyFont="1" applyFill="1" applyAlignment="1" applyProtection="1">
      <alignment horizontal="center"/>
      <protection hidden="1"/>
    </xf>
    <xf numFmtId="1" fontId="23" fillId="0" borderId="0" xfId="0" applyNumberFormat="1" applyFont="1" applyFill="1" applyBorder="1" applyAlignment="1" applyProtection="1">
      <alignment horizontal="center" vertical="center"/>
      <protection hidden="1"/>
    </xf>
    <xf numFmtId="0" fontId="19" fillId="2" borderId="0" xfId="5" applyFont="1" applyFill="1" applyAlignment="1">
      <alignment vertical="top"/>
    </xf>
    <xf numFmtId="0" fontId="19" fillId="2" borderId="0" xfId="5" applyFont="1" applyFill="1" applyAlignment="1">
      <alignment horizontal="center" vertical="top"/>
    </xf>
    <xf numFmtId="0" fontId="19" fillId="2" borderId="0" xfId="5" applyFont="1" applyFill="1" applyAlignment="1">
      <alignment horizontal="left" vertical="top"/>
    </xf>
    <xf numFmtId="0" fontId="4" fillId="2" borderId="0" xfId="3" applyFill="1"/>
    <xf numFmtId="0" fontId="19" fillId="16" borderId="0" xfId="5" applyFont="1" applyFill="1" applyAlignment="1">
      <alignment vertical="top"/>
    </xf>
    <xf numFmtId="0" fontId="58" fillId="2" borderId="0" xfId="5" applyFont="1" applyFill="1" applyAlignment="1">
      <alignment vertical="top"/>
    </xf>
    <xf numFmtId="3" fontId="19" fillId="0" borderId="0" xfId="5" applyNumberFormat="1" applyFont="1" applyAlignment="1">
      <alignment horizontal="right" vertical="top"/>
    </xf>
    <xf numFmtId="0" fontId="10" fillId="2" borderId="0" xfId="3" applyFont="1" applyFill="1"/>
    <xf numFmtId="0" fontId="19" fillId="0" borderId="0" xfId="5" applyFont="1" applyAlignment="1">
      <alignment vertical="top"/>
    </xf>
    <xf numFmtId="0" fontId="19" fillId="10" borderId="0" xfId="5" applyFont="1" applyFill="1" applyAlignment="1">
      <alignment vertical="top"/>
    </xf>
    <xf numFmtId="0" fontId="19" fillId="3" borderId="0" xfId="5" applyFont="1" applyFill="1" applyAlignment="1">
      <alignment vertical="top"/>
    </xf>
    <xf numFmtId="0" fontId="10" fillId="17" borderId="0" xfId="5" applyFont="1" applyFill="1" applyAlignment="1">
      <alignment vertical="top"/>
    </xf>
    <xf numFmtId="0" fontId="10" fillId="17" borderId="0" xfId="5" applyFont="1" applyFill="1" applyAlignment="1">
      <alignment horizontal="center" vertical="top"/>
    </xf>
    <xf numFmtId="0" fontId="19" fillId="17" borderId="0" xfId="5" applyFont="1" applyFill="1" applyAlignment="1">
      <alignment horizontal="center" vertical="top"/>
    </xf>
    <xf numFmtId="0" fontId="59" fillId="10" borderId="0" xfId="5" applyFont="1" applyFill="1" applyAlignment="1">
      <alignment vertical="top"/>
    </xf>
    <xf numFmtId="0" fontId="19" fillId="0" borderId="0" xfId="5" applyFont="1" applyAlignment="1">
      <alignment vertical="top" wrapText="1"/>
    </xf>
    <xf numFmtId="3" fontId="24" fillId="0" borderId="0" xfId="6" applyNumberFormat="1" applyFont="1"/>
    <xf numFmtId="0" fontId="19" fillId="3" borderId="0" xfId="5" applyFont="1" applyFill="1" applyAlignment="1">
      <alignment vertical="top" wrapText="1"/>
    </xf>
    <xf numFmtId="0" fontId="10" fillId="2" borderId="0" xfId="5" applyFont="1" applyFill="1" applyAlignment="1">
      <alignment vertical="top"/>
    </xf>
    <xf numFmtId="3" fontId="19" fillId="3" borderId="0" xfId="5" applyNumberFormat="1" applyFont="1" applyFill="1" applyAlignment="1">
      <alignment vertical="top"/>
    </xf>
    <xf numFmtId="3" fontId="19" fillId="0" borderId="0" xfId="5" applyNumberFormat="1" applyFont="1" applyAlignment="1">
      <alignment vertical="top"/>
    </xf>
    <xf numFmtId="38" fontId="0" fillId="0" borderId="0" xfId="0" applyNumberFormat="1"/>
    <xf numFmtId="0" fontId="10" fillId="8" borderId="14" xfId="0" applyFont="1" applyFill="1" applyBorder="1" applyAlignment="1">
      <alignment vertical="top" wrapText="1"/>
    </xf>
    <xf numFmtId="0" fontId="10" fillId="8" borderId="12" xfId="0" applyFont="1" applyFill="1" applyBorder="1" applyAlignment="1">
      <alignment vertical="top" wrapText="1"/>
    </xf>
    <xf numFmtId="0" fontId="24" fillId="8" borderId="12" xfId="0" applyFont="1" applyFill="1" applyBorder="1" applyAlignment="1">
      <alignment vertical="top" wrapText="1"/>
    </xf>
    <xf numFmtId="0" fontId="24" fillId="8" borderId="14" xfId="0" applyFont="1" applyFill="1" applyBorder="1" applyAlignment="1">
      <alignment vertical="top" wrapText="1"/>
    </xf>
    <xf numFmtId="0" fontId="24" fillId="8" borderId="12" xfId="0" applyFont="1" applyFill="1" applyBorder="1" applyAlignment="1">
      <alignment horizontal="center" vertical="top" wrapText="1"/>
    </xf>
    <xf numFmtId="0" fontId="24" fillId="8" borderId="15" xfId="0" applyFont="1" applyFill="1" applyBorder="1" applyAlignment="1">
      <alignment horizontal="center" vertical="top" wrapText="1"/>
    </xf>
    <xf numFmtId="0" fontId="24" fillId="8" borderId="15" xfId="0" quotePrefix="1" applyFont="1" applyFill="1" applyBorder="1" applyAlignment="1">
      <alignment horizontal="center" vertical="top" wrapText="1"/>
    </xf>
    <xf numFmtId="38" fontId="24" fillId="8" borderId="12" xfId="0" applyNumberFormat="1" applyFont="1" applyFill="1" applyBorder="1" applyAlignment="1">
      <alignment horizontal="center" vertical="top" wrapText="1"/>
    </xf>
    <xf numFmtId="0" fontId="0" fillId="6" borderId="0" xfId="0" applyFill="1"/>
    <xf numFmtId="4" fontId="0" fillId="0" borderId="0" xfId="0" applyNumberFormat="1"/>
    <xf numFmtId="0" fontId="25" fillId="0" borderId="0" xfId="0" applyFont="1"/>
    <xf numFmtId="4" fontId="0" fillId="3" borderId="0" xfId="0" applyNumberFormat="1" applyFill="1"/>
    <xf numFmtId="4" fontId="0" fillId="0" borderId="16" xfId="0" applyNumberFormat="1" applyBorder="1"/>
    <xf numFmtId="4" fontId="33" fillId="0" borderId="0" xfId="7" applyNumberFormat="1" applyFont="1"/>
    <xf numFmtId="4" fontId="36" fillId="0" borderId="0" xfId="0" applyNumberFormat="1" applyFont="1"/>
    <xf numFmtId="0" fontId="24" fillId="5" borderId="15" xfId="0" applyFont="1" applyFill="1" applyBorder="1"/>
    <xf numFmtId="0" fontId="10" fillId="5" borderId="14" xfId="0" applyFont="1" applyFill="1" applyBorder="1"/>
    <xf numFmtId="4" fontId="24" fillId="5" borderId="14" xfId="0" applyNumberFormat="1" applyFont="1" applyFill="1" applyBorder="1"/>
    <xf numFmtId="4" fontId="19" fillId="0" borderId="0" xfId="0" applyNumberFormat="1" applyFont="1"/>
    <xf numFmtId="4" fontId="24" fillId="5" borderId="15" xfId="0" applyNumberFormat="1" applyFont="1" applyFill="1" applyBorder="1"/>
    <xf numFmtId="4" fontId="10" fillId="5" borderId="14" xfId="0" applyNumberFormat="1" applyFont="1" applyFill="1" applyBorder="1"/>
    <xf numFmtId="0" fontId="35" fillId="0" borderId="0" xfId="0" applyFont="1"/>
    <xf numFmtId="38" fontId="0" fillId="3" borderId="0" xfId="0" applyNumberFormat="1" applyFill="1"/>
    <xf numFmtId="0" fontId="24" fillId="0" borderId="0" xfId="0" applyFont="1"/>
    <xf numFmtId="166" fontId="33" fillId="0" borderId="0" xfId="7" applyNumberFormat="1" applyFont="1"/>
    <xf numFmtId="0" fontId="10" fillId="4" borderId="15" xfId="0" applyFont="1" applyFill="1" applyBorder="1"/>
    <xf numFmtId="0" fontId="24" fillId="4" borderId="14" xfId="0" applyFont="1" applyFill="1" applyBorder="1"/>
    <xf numFmtId="4" fontId="24" fillId="4" borderId="14" xfId="0" applyNumberFormat="1" applyFont="1" applyFill="1" applyBorder="1"/>
    <xf numFmtId="4" fontId="24" fillId="4" borderId="13" xfId="0" applyNumberFormat="1" applyFont="1" applyFill="1" applyBorder="1"/>
    <xf numFmtId="0" fontId="19" fillId="17" borderId="0" xfId="5" applyFont="1" applyFill="1" applyAlignment="1">
      <alignment vertical="top"/>
    </xf>
    <xf numFmtId="3" fontId="19" fillId="0" borderId="0" xfId="0" applyNumberFormat="1" applyFont="1" applyFill="1"/>
    <xf numFmtId="0" fontId="10" fillId="0" borderId="0" xfId="0" applyFont="1" applyFill="1"/>
    <xf numFmtId="0" fontId="19" fillId="0" borderId="0" xfId="0" applyFont="1" applyFill="1"/>
    <xf numFmtId="0" fontId="19" fillId="0" borderId="0" xfId="0" applyFont="1" applyFill="1" applyAlignment="1">
      <alignment horizontal="center"/>
    </xf>
    <xf numFmtId="3" fontId="19" fillId="0" borderId="0" xfId="0" applyNumberFormat="1" applyFont="1" applyFill="1" applyAlignment="1">
      <alignment horizontal="right"/>
    </xf>
    <xf numFmtId="3" fontId="19" fillId="0" borderId="0" xfId="8" applyNumberFormat="1" applyFont="1" applyFill="1"/>
    <xf numFmtId="3" fontId="10" fillId="0" borderId="0" xfId="0" applyNumberFormat="1" applyFont="1" applyFill="1"/>
    <xf numFmtId="9" fontId="19" fillId="0" borderId="0" xfId="9" applyFont="1" applyFill="1"/>
    <xf numFmtId="41" fontId="19" fillId="0" borderId="0" xfId="0" applyNumberFormat="1" applyFont="1" applyFill="1"/>
    <xf numFmtId="174" fontId="19" fillId="0" borderId="0" xfId="8" applyNumberFormat="1" applyFont="1" applyFill="1"/>
    <xf numFmtId="3" fontId="19" fillId="0" borderId="0" xfId="10" applyNumberFormat="1" applyFill="1"/>
    <xf numFmtId="37" fontId="19" fillId="0" borderId="0" xfId="0" applyNumberFormat="1" applyFont="1" applyFill="1"/>
    <xf numFmtId="174" fontId="19" fillId="0" borderId="0" xfId="10" applyNumberFormat="1" applyFill="1"/>
    <xf numFmtId="0" fontId="0" fillId="0" borderId="0" xfId="0" applyFill="1"/>
    <xf numFmtId="0" fontId="15" fillId="0" borderId="0" xfId="0" applyFont="1" applyFill="1" applyAlignment="1">
      <alignment horizontal="left"/>
    </xf>
    <xf numFmtId="0" fontId="15" fillId="0" borderId="0" xfId="0" applyFont="1" applyFill="1" applyAlignment="1">
      <alignment horizontal="center"/>
    </xf>
    <xf numFmtId="0" fontId="15" fillId="0" borderId="0" xfId="0" applyFont="1" applyFill="1" applyAlignment="1">
      <alignment horizontal="right"/>
    </xf>
    <xf numFmtId="0" fontId="10" fillId="0" borderId="0" xfId="0" applyFont="1" applyFill="1" applyAlignment="1">
      <alignment horizontal="right"/>
    </xf>
    <xf numFmtId="171" fontId="19" fillId="0" borderId="0" xfId="0" applyNumberFormat="1" applyFont="1" applyFill="1"/>
    <xf numFmtId="173" fontId="19" fillId="0" borderId="0" xfId="0" applyNumberFormat="1" applyFont="1" applyFill="1"/>
    <xf numFmtId="0" fontId="10" fillId="0" borderId="0" xfId="0" applyFont="1" applyFill="1" applyAlignment="1">
      <alignment horizontal="center"/>
    </xf>
    <xf numFmtId="0" fontId="19" fillId="0" borderId="0" xfId="0" applyFont="1" applyFill="1" applyAlignment="1">
      <alignment horizontal="right"/>
    </xf>
    <xf numFmtId="0" fontId="19" fillId="0" borderId="35" xfId="0" applyFont="1" applyFill="1" applyBorder="1" applyAlignment="1">
      <alignment horizontal="center"/>
    </xf>
    <xf numFmtId="0" fontId="19" fillId="0" borderId="11" xfId="0" applyFont="1" applyFill="1" applyBorder="1" applyAlignment="1">
      <alignment horizontal="center"/>
    </xf>
    <xf numFmtId="0" fontId="19" fillId="0" borderId="9" xfId="0" applyFont="1" applyFill="1" applyBorder="1" applyAlignment="1">
      <alignment horizontal="center"/>
    </xf>
    <xf numFmtId="0" fontId="19" fillId="0" borderId="10" xfId="0" applyFont="1" applyFill="1" applyBorder="1" applyAlignment="1">
      <alignment horizontal="center"/>
    </xf>
    <xf numFmtId="0" fontId="6" fillId="0" borderId="10" xfId="2" applyFill="1" applyBorder="1" applyAlignment="1" applyProtection="1">
      <alignment horizontal="center"/>
    </xf>
    <xf numFmtId="9" fontId="19" fillId="0" borderId="4" xfId="0" applyNumberFormat="1" applyFont="1" applyFill="1" applyBorder="1" applyAlignment="1">
      <alignment horizontal="center"/>
    </xf>
    <xf numFmtId="9" fontId="19" fillId="0" borderId="0" xfId="0" applyNumberFormat="1" applyFont="1" applyFill="1" applyAlignment="1">
      <alignment horizontal="center"/>
    </xf>
    <xf numFmtId="0" fontId="19" fillId="0" borderId="5" xfId="0" applyFont="1" applyFill="1" applyBorder="1" applyAlignment="1">
      <alignment horizontal="center"/>
    </xf>
    <xf numFmtId="0" fontId="19" fillId="0" borderId="0" xfId="0" applyFont="1" applyFill="1" applyAlignment="1">
      <alignment horizontal="left"/>
    </xf>
    <xf numFmtId="0" fontId="19" fillId="0" borderId="16" xfId="0" applyFont="1" applyFill="1" applyBorder="1" applyAlignment="1">
      <alignment horizontal="center"/>
    </xf>
    <xf numFmtId="0" fontId="19" fillId="0" borderId="4" xfId="0" applyFont="1" applyFill="1" applyBorder="1" applyAlignment="1">
      <alignment horizontal="center"/>
    </xf>
    <xf numFmtId="0" fontId="69" fillId="0" borderId="0" xfId="0" applyFont="1" applyFill="1" applyAlignment="1">
      <alignment horizontal="center"/>
    </xf>
    <xf numFmtId="0" fontId="19" fillId="0" borderId="36" xfId="0" applyFont="1" applyFill="1" applyBorder="1" applyAlignment="1">
      <alignment horizontal="center"/>
    </xf>
    <xf numFmtId="0" fontId="19" fillId="0" borderId="37" xfId="0" applyFont="1" applyFill="1" applyBorder="1" applyAlignment="1">
      <alignment horizontal="center"/>
    </xf>
    <xf numFmtId="0" fontId="19" fillId="0" borderId="3" xfId="0" applyFont="1" applyFill="1" applyBorder="1" applyAlignment="1">
      <alignment horizontal="center"/>
    </xf>
    <xf numFmtId="0" fontId="19" fillId="0" borderId="7" xfId="0" applyFont="1" applyFill="1" applyBorder="1" applyAlignment="1">
      <alignment horizontal="center"/>
    </xf>
    <xf numFmtId="0" fontId="19" fillId="0" borderId="6" xfId="0" applyFont="1" applyFill="1" applyBorder="1" applyAlignment="1">
      <alignment horizontal="center"/>
    </xf>
    <xf numFmtId="0" fontId="19" fillId="0" borderId="8" xfId="0" applyFont="1" applyFill="1" applyBorder="1" applyAlignment="1">
      <alignment horizontal="center"/>
    </xf>
    <xf numFmtId="16" fontId="19" fillId="0" borderId="0" xfId="0" applyNumberFormat="1" applyFont="1" applyFill="1" applyAlignment="1">
      <alignment horizontal="center"/>
    </xf>
    <xf numFmtId="0" fontId="61" fillId="0" borderId="0" xfId="0" applyFont="1" applyFill="1" applyAlignment="1">
      <alignment horizontal="center"/>
    </xf>
    <xf numFmtId="3" fontId="6" fillId="0" borderId="0" xfId="2" applyNumberFormat="1" applyFill="1" applyAlignment="1" applyProtection="1"/>
    <xf numFmtId="0" fontId="6" fillId="0" borderId="0" xfId="2" applyFill="1" applyAlignment="1" applyProtection="1"/>
    <xf numFmtId="4" fontId="6" fillId="0" borderId="0" xfId="2" applyNumberFormat="1" applyFill="1" applyAlignment="1" applyProtection="1"/>
    <xf numFmtId="175" fontId="19" fillId="0" borderId="0" xfId="0" applyNumberFormat="1" applyFont="1" applyFill="1"/>
    <xf numFmtId="3" fontId="19" fillId="0" borderId="0" xfId="0" applyNumberFormat="1" applyFont="1" applyFill="1" applyAlignment="1">
      <alignment horizontal="center"/>
    </xf>
    <xf numFmtId="10" fontId="19" fillId="0" borderId="0" xfId="9" applyNumberFormat="1" applyFont="1" applyFill="1"/>
    <xf numFmtId="4" fontId="19" fillId="0" borderId="0" xfId="0" applyNumberFormat="1" applyFont="1" applyFill="1"/>
    <xf numFmtId="3" fontId="58" fillId="0" borderId="0" xfId="0" applyNumberFormat="1" applyFont="1" applyFill="1" applyAlignment="1">
      <alignment horizontal="right"/>
    </xf>
    <xf numFmtId="3" fontId="58" fillId="0" borderId="0" xfId="8" applyNumberFormat="1" applyFont="1" applyFill="1"/>
    <xf numFmtId="3" fontId="62" fillId="0" borderId="0" xfId="0" applyNumberFormat="1" applyFont="1" applyFill="1"/>
    <xf numFmtId="3" fontId="28" fillId="0" borderId="0" xfId="8" applyNumberFormat="1" applyFont="1" applyFill="1"/>
    <xf numFmtId="3" fontId="13" fillId="0" borderId="0" xfId="0" applyNumberFormat="1" applyFont="1" applyFill="1" applyAlignment="1">
      <alignment horizontal="right"/>
    </xf>
    <xf numFmtId="3" fontId="63" fillId="0" borderId="38" xfId="0" applyNumberFormat="1" applyFont="1" applyFill="1" applyBorder="1"/>
    <xf numFmtId="3" fontId="63" fillId="0" borderId="0" xfId="0" applyNumberFormat="1" applyFont="1" applyFill="1"/>
    <xf numFmtId="37" fontId="10" fillId="0" borderId="0" xfId="0" applyNumberFormat="1" applyFont="1" applyFill="1"/>
    <xf numFmtId="43" fontId="19" fillId="0" borderId="0" xfId="0" applyNumberFormat="1" applyFont="1" applyFill="1"/>
    <xf numFmtId="43" fontId="0" fillId="0" borderId="0" xfId="1" applyFont="1" applyFill="1"/>
    <xf numFmtId="172" fontId="0" fillId="0" borderId="0" xfId="0" applyNumberFormat="1" applyFill="1"/>
    <xf numFmtId="0" fontId="0" fillId="0" borderId="0" xfId="0"/>
    <xf numFmtId="3" fontId="19" fillId="16" borderId="0" xfId="0" applyNumberFormat="1" applyFont="1" applyFill="1"/>
    <xf numFmtId="0" fontId="19" fillId="15" borderId="0" xfId="0" applyFont="1" applyFill="1"/>
    <xf numFmtId="0" fontId="19" fillId="16" borderId="0" xfId="0" applyFont="1" applyFill="1"/>
    <xf numFmtId="0" fontId="19" fillId="2" borderId="0" xfId="64" applyFont="1" applyFill="1" applyAlignment="1">
      <alignment vertical="top"/>
    </xf>
    <xf numFmtId="0" fontId="57" fillId="2" borderId="0" xfId="64" applyFont="1" applyFill="1" applyAlignment="1">
      <alignment vertical="top"/>
    </xf>
    <xf numFmtId="0" fontId="19" fillId="2" borderId="0" xfId="64" applyFont="1" applyFill="1" applyAlignment="1">
      <alignment horizontal="center" vertical="top"/>
    </xf>
    <xf numFmtId="0" fontId="19" fillId="2" borderId="0" xfId="64" applyFont="1" applyFill="1" applyAlignment="1">
      <alignment horizontal="left" vertical="top"/>
    </xf>
    <xf numFmtId="0" fontId="19" fillId="0" borderId="0" xfId="64" applyFont="1" applyAlignment="1">
      <alignment horizontal="left" vertical="top"/>
    </xf>
    <xf numFmtId="0" fontId="29" fillId="10" borderId="0" xfId="64" applyFont="1" applyFill="1" applyAlignment="1">
      <alignment vertical="top" wrapText="1"/>
    </xf>
    <xf numFmtId="0" fontId="57" fillId="0" borderId="0" xfId="64" applyFont="1" applyAlignment="1">
      <alignment vertical="top"/>
    </xf>
    <xf numFmtId="0" fontId="57" fillId="3" borderId="0" xfId="64" applyFont="1" applyFill="1" applyAlignment="1">
      <alignment vertical="top"/>
    </xf>
    <xf numFmtId="0" fontId="19" fillId="0" borderId="0" xfId="64" applyFont="1" applyAlignment="1">
      <alignment horizontal="center" vertical="top"/>
    </xf>
    <xf numFmtId="0" fontId="19" fillId="10" borderId="0" xfId="64" applyFont="1" applyFill="1" applyAlignment="1">
      <alignment horizontal="center" vertical="top"/>
    </xf>
    <xf numFmtId="0" fontId="19" fillId="3" borderId="0" xfId="64" applyFont="1" applyFill="1" applyAlignment="1">
      <alignment horizontal="center" vertical="top"/>
    </xf>
    <xf numFmtId="0" fontId="19" fillId="2" borderId="0" xfId="64" applyFont="1" applyFill="1" applyAlignment="1">
      <alignment horizontal="center" vertical="top" wrapText="1"/>
    </xf>
    <xf numFmtId="0" fontId="19" fillId="0" borderId="12" xfId="64" applyFont="1" applyBorder="1" applyAlignment="1">
      <alignment horizontal="center" vertical="top" wrapText="1"/>
    </xf>
    <xf numFmtId="0" fontId="10" fillId="11" borderId="12" xfId="64" applyFont="1" applyFill="1" applyBorder="1" applyAlignment="1">
      <alignment horizontal="center" vertical="top" wrapText="1"/>
    </xf>
    <xf numFmtId="0" fontId="2" fillId="12" borderId="12" xfId="64" applyFill="1" applyBorder="1" applyAlignment="1">
      <alignment horizontal="right" vertical="top" wrapText="1"/>
    </xf>
    <xf numFmtId="0" fontId="2" fillId="0" borderId="12" xfId="64" applyBorder="1" applyAlignment="1">
      <alignment horizontal="right" vertical="top" wrapText="1"/>
    </xf>
    <xf numFmtId="0" fontId="2" fillId="10" borderId="12" xfId="64" applyFill="1" applyBorder="1" applyAlignment="1">
      <alignment horizontal="right" vertical="top" wrapText="1"/>
    </xf>
    <xf numFmtId="0" fontId="2" fillId="3" borderId="12" xfId="64" applyFill="1" applyBorder="1" applyAlignment="1">
      <alignment horizontal="right" vertical="top" wrapText="1"/>
    </xf>
    <xf numFmtId="0" fontId="25" fillId="0" borderId="12" xfId="64" applyFont="1" applyBorder="1" applyAlignment="1">
      <alignment horizontal="center" vertical="top" wrapText="1"/>
    </xf>
    <xf numFmtId="0" fontId="25" fillId="0" borderId="12" xfId="64" applyFont="1" applyBorder="1" applyAlignment="1">
      <alignment horizontal="right" vertical="top" wrapText="1"/>
    </xf>
    <xf numFmtId="0" fontId="25" fillId="0" borderId="12" xfId="64" quotePrefix="1" applyFont="1" applyBorder="1" applyAlignment="1">
      <alignment horizontal="center" vertical="top" wrapText="1"/>
    </xf>
    <xf numFmtId="0" fontId="25" fillId="3" borderId="12" xfId="64" applyFont="1" applyFill="1" applyBorder="1" applyAlignment="1">
      <alignment horizontal="center" vertical="top" wrapText="1"/>
    </xf>
    <xf numFmtId="0" fontId="19" fillId="11" borderId="12" xfId="64" applyFont="1" applyFill="1" applyBorder="1" applyAlignment="1">
      <alignment horizontal="center" vertical="top" wrapText="1"/>
    </xf>
    <xf numFmtId="0" fontId="19" fillId="10" borderId="0" xfId="64" applyFont="1" applyFill="1" applyAlignment="1">
      <alignment horizontal="left" vertical="top"/>
    </xf>
    <xf numFmtId="0" fontId="19" fillId="3" borderId="0" xfId="64" applyFont="1" applyFill="1" applyAlignment="1">
      <alignment horizontal="left" vertical="top"/>
    </xf>
    <xf numFmtId="3" fontId="19" fillId="6" borderId="20" xfId="64" applyNumberFormat="1" applyFont="1" applyFill="1" applyBorder="1" applyAlignment="1">
      <alignment horizontal="right" vertical="top"/>
    </xf>
    <xf numFmtId="3" fontId="19" fillId="0" borderId="20" xfId="64" applyNumberFormat="1" applyFont="1" applyBorder="1" applyAlignment="1">
      <alignment horizontal="right" vertical="top"/>
    </xf>
    <xf numFmtId="3" fontId="19" fillId="10" borderId="20" xfId="64" applyNumberFormat="1" applyFont="1" applyFill="1" applyBorder="1" applyAlignment="1">
      <alignment horizontal="right" vertical="top"/>
    </xf>
    <xf numFmtId="3" fontId="19" fillId="3" borderId="20" xfId="64" applyNumberFormat="1" applyFont="1" applyFill="1" applyBorder="1" applyAlignment="1">
      <alignment horizontal="right" vertical="top"/>
    </xf>
    <xf numFmtId="3" fontId="19" fillId="2" borderId="20" xfId="64" applyNumberFormat="1" applyFont="1" applyFill="1" applyBorder="1" applyAlignment="1">
      <alignment horizontal="right" vertical="top"/>
    </xf>
    <xf numFmtId="0" fontId="2" fillId="6" borderId="0" xfId="64" applyFill="1" applyAlignment="1">
      <alignment vertical="top"/>
    </xf>
    <xf numFmtId="0" fontId="19" fillId="6" borderId="0" xfId="64" applyFont="1" applyFill="1" applyAlignment="1">
      <alignment horizontal="left" vertical="top"/>
    </xf>
    <xf numFmtId="0" fontId="19" fillId="16" borderId="0" xfId="64" applyFont="1" applyFill="1" applyAlignment="1">
      <alignment vertical="top"/>
    </xf>
    <xf numFmtId="0" fontId="19" fillId="16" borderId="0" xfId="64" applyFont="1" applyFill="1" applyAlignment="1">
      <alignment horizontal="center" vertical="top"/>
    </xf>
    <xf numFmtId="0" fontId="19" fillId="16" borderId="0" xfId="64" applyFont="1" applyFill="1" applyAlignment="1">
      <alignment horizontal="left" vertical="top"/>
    </xf>
    <xf numFmtId="3" fontId="19" fillId="16" borderId="20" xfId="64" applyNumberFormat="1" applyFont="1" applyFill="1" applyBorder="1" applyAlignment="1">
      <alignment horizontal="right" vertical="top"/>
    </xf>
    <xf numFmtId="0" fontId="19" fillId="6" borderId="0" xfId="64" applyFont="1" applyFill="1" applyAlignment="1">
      <alignment vertical="top"/>
    </xf>
    <xf numFmtId="0" fontId="58" fillId="2" borderId="0" xfId="64" applyFont="1" applyFill="1" applyAlignment="1">
      <alignment horizontal="center" vertical="top"/>
    </xf>
    <xf numFmtId="0" fontId="58" fillId="2" borderId="0" xfId="64" applyFont="1" applyFill="1" applyAlignment="1">
      <alignment horizontal="left" vertical="top"/>
    </xf>
    <xf numFmtId="3" fontId="58" fillId="6" borderId="20" xfId="64" applyNumberFormat="1" applyFont="1" applyFill="1" applyBorder="1" applyAlignment="1">
      <alignment horizontal="right" vertical="top"/>
    </xf>
    <xf numFmtId="3" fontId="19" fillId="2" borderId="0" xfId="64" applyNumberFormat="1" applyFont="1" applyFill="1" applyAlignment="1">
      <alignment horizontal="right" vertical="top"/>
    </xf>
    <xf numFmtId="3" fontId="19" fillId="0" borderId="0" xfId="64" applyNumberFormat="1" applyFont="1" applyAlignment="1">
      <alignment horizontal="right" vertical="top"/>
    </xf>
    <xf numFmtId="3" fontId="19" fillId="10" borderId="0" xfId="64" applyNumberFormat="1" applyFont="1" applyFill="1" applyAlignment="1">
      <alignment horizontal="right" vertical="top"/>
    </xf>
    <xf numFmtId="3" fontId="19" fillId="3" borderId="0" xfId="64" applyNumberFormat="1" applyFont="1" applyFill="1" applyAlignment="1">
      <alignment horizontal="right" vertical="top"/>
    </xf>
    <xf numFmtId="0" fontId="19" fillId="2" borderId="0" xfId="0" applyFont="1" applyFill="1"/>
    <xf numFmtId="0" fontId="19" fillId="2" borderId="0" xfId="0" applyFont="1" applyFill="1" applyAlignment="1">
      <alignment horizontal="center"/>
    </xf>
    <xf numFmtId="0" fontId="19" fillId="13" borderId="0" xfId="0" applyFont="1" applyFill="1"/>
    <xf numFmtId="0" fontId="19" fillId="12" borderId="0" xfId="0" applyFont="1" applyFill="1"/>
    <xf numFmtId="0" fontId="19" fillId="14" borderId="0" xfId="0" applyFont="1" applyFill="1"/>
    <xf numFmtId="0" fontId="19" fillId="2" borderId="0" xfId="0" applyFont="1" applyFill="1" applyAlignment="1">
      <alignment horizontal="left"/>
    </xf>
    <xf numFmtId="3" fontId="19" fillId="2" borderId="0" xfId="0" applyNumberFormat="1" applyFont="1" applyFill="1"/>
    <xf numFmtId="0" fontId="58" fillId="2" borderId="0" xfId="0" applyFont="1" applyFill="1"/>
    <xf numFmtId="3" fontId="19" fillId="2" borderId="0" xfId="0" applyNumberFormat="1" applyFont="1" applyFill="1" applyAlignment="1">
      <alignment horizontal="right"/>
    </xf>
    <xf numFmtId="0" fontId="10" fillId="2" borderId="0" xfId="0" applyFont="1" applyFill="1" applyAlignment="1">
      <alignment horizontal="center"/>
    </xf>
    <xf numFmtId="3" fontId="19" fillId="3" borderId="0" xfId="0" applyNumberFormat="1" applyFont="1" applyFill="1" applyAlignment="1">
      <alignment horizontal="right"/>
    </xf>
    <xf numFmtId="0" fontId="10" fillId="2" borderId="0" xfId="0" applyFont="1" applyFill="1"/>
    <xf numFmtId="0" fontId="10" fillId="2" borderId="0" xfId="0" applyFont="1" applyFill="1" applyAlignment="1">
      <alignment horizontal="left"/>
    </xf>
    <xf numFmtId="3" fontId="10" fillId="2" borderId="0" xfId="0" applyNumberFormat="1" applyFont="1" applyFill="1" applyAlignment="1">
      <alignment horizontal="right"/>
    </xf>
    <xf numFmtId="3" fontId="10" fillId="2" borderId="0" xfId="0" applyNumberFormat="1" applyFont="1" applyFill="1"/>
    <xf numFmtId="0" fontId="1" fillId="0" borderId="0" xfId="83"/>
    <xf numFmtId="0" fontId="24" fillId="0" borderId="0" xfId="83" applyFont="1" applyAlignment="1">
      <alignment horizontal="left" wrapText="1"/>
    </xf>
    <xf numFmtId="0" fontId="24" fillId="0" borderId="0" xfId="83" applyFont="1" applyAlignment="1">
      <alignment wrapText="1"/>
    </xf>
    <xf numFmtId="0" fontId="1" fillId="0" borderId="0" xfId="83" applyAlignment="1">
      <alignment horizontal="left"/>
    </xf>
    <xf numFmtId="40" fontId="1" fillId="0" borderId="0" xfId="83" applyNumberFormat="1"/>
    <xf numFmtId="11" fontId="1" fillId="0" borderId="0" xfId="83" applyNumberFormat="1"/>
    <xf numFmtId="0" fontId="24" fillId="8" borderId="0" xfId="3" applyFont="1" applyFill="1" applyBorder="1" applyAlignment="1">
      <alignment vertical="top" wrapText="1"/>
    </xf>
    <xf numFmtId="1" fontId="4" fillId="0" borderId="0" xfId="3" applyNumberFormat="1"/>
    <xf numFmtId="4" fontId="4" fillId="9" borderId="0" xfId="3" applyNumberFormat="1" applyFill="1"/>
    <xf numFmtId="0" fontId="19" fillId="0" borderId="0" xfId="0" applyFont="1" applyFill="1" applyAlignment="1">
      <alignment horizontal="center"/>
    </xf>
    <xf numFmtId="0" fontId="19" fillId="0" borderId="1" xfId="0" applyFont="1" applyFill="1" applyBorder="1" applyAlignment="1">
      <alignment horizontal="center"/>
    </xf>
    <xf numFmtId="0" fontId="19" fillId="0" borderId="2" xfId="0" applyFont="1" applyFill="1" applyBorder="1" applyAlignment="1">
      <alignment horizontal="center"/>
    </xf>
    <xf numFmtId="0" fontId="19" fillId="0" borderId="3" xfId="0" applyFont="1" applyFill="1" applyBorder="1" applyAlignment="1">
      <alignment horizontal="center"/>
    </xf>
    <xf numFmtId="0" fontId="19" fillId="0" borderId="9" xfId="0" applyFont="1" applyFill="1" applyBorder="1" applyAlignment="1">
      <alignment horizontal="center"/>
    </xf>
    <xf numFmtId="0" fontId="19" fillId="0" borderId="11" xfId="0" applyFont="1" applyFill="1" applyBorder="1" applyAlignment="1">
      <alignment horizontal="center"/>
    </xf>
    <xf numFmtId="0" fontId="19" fillId="0" borderId="6" xfId="0" applyFont="1" applyFill="1" applyBorder="1" applyAlignment="1">
      <alignment horizontal="center"/>
    </xf>
    <xf numFmtId="0" fontId="19" fillId="0" borderId="8" xfId="0" applyFont="1" applyFill="1" applyBorder="1" applyAlignment="1">
      <alignment horizontal="center"/>
    </xf>
  </cellXfs>
  <cellStyles count="84">
    <cellStyle name="%" xfId="42" xr:uid="{31B2A57F-CADC-4961-9FC3-CC82F5987598}"/>
    <cellStyle name="% 2 2" xfId="53" xr:uid="{E0A0F7DB-B931-4B4F-AD48-0E83ABF412CF}"/>
    <cellStyle name="20% - Accent5 10" xfId="49" xr:uid="{053C819A-802D-416E-884D-0E789492BA6D}"/>
    <cellStyle name="20% - Accent5 10 2" xfId="80" xr:uid="{CE3B2838-C489-4032-BB7D-5FEB1BB103AB}"/>
    <cellStyle name="20% - Accent5 2" xfId="79" xr:uid="{303A416C-8944-40F2-9EF1-763074DE4350}"/>
    <cellStyle name="Comma" xfId="1" builtinId="3"/>
    <cellStyle name="Comma 10" xfId="8" xr:uid="{C9ECAB1C-6EB1-47F6-BB37-5A8120726385}"/>
    <cellStyle name="Comma 2" xfId="10" xr:uid="{53ED09ED-3B08-4EA7-9D0F-F6F5EBB4A8A6}"/>
    <cellStyle name="Comma 2 2" xfId="30" xr:uid="{4360C327-702B-402B-A53F-CDC765B85172}"/>
    <cellStyle name="Comma 2 2 2" xfId="66" xr:uid="{213240C6-1CCA-43CA-9FED-CDB2ECB48EC0}"/>
    <cellStyle name="Comma 2 3" xfId="52" xr:uid="{AF0C0EC6-9885-4CD3-AB89-7F166A80B4EA}"/>
    <cellStyle name="Comma 2 3 2" xfId="82" xr:uid="{7F612821-9318-4DCC-A539-DC96486A5A6A}"/>
    <cellStyle name="Comma 2 4" xfId="55" xr:uid="{C9EBC3AA-9A7F-4C16-953A-6842E0E17BC7}"/>
    <cellStyle name="Comma 2 5" xfId="57" xr:uid="{C19FFD47-9C34-4FF6-9460-665731A6D5AA}"/>
    <cellStyle name="Comma 3" xfId="14" xr:uid="{49712650-DF3A-4299-891E-4EDB440DD07E}"/>
    <cellStyle name="Comma 3 2" xfId="59" xr:uid="{D2067BF0-B08C-47A3-979A-662D151BEF88}"/>
    <cellStyle name="Comma 4" xfId="25" xr:uid="{34A3BDA5-D129-445C-AB01-ED5014266837}"/>
    <cellStyle name="Comma 4 2" xfId="33" xr:uid="{8EE068A3-7D77-4848-9158-1515A4D33CE9}"/>
    <cellStyle name="Comma 4 2 2" xfId="69" xr:uid="{2DA326B3-6BB8-40D9-AECC-5BE1A7726077}"/>
    <cellStyle name="Comma 4 3" xfId="37" xr:uid="{77DBE856-2BA1-4388-84D2-0A46C0143DA3}"/>
    <cellStyle name="Comma 4 3 2" xfId="72" xr:uid="{A8645268-3183-442A-90E5-23EAC48A7396}"/>
    <cellStyle name="Comma 4 4" xfId="62" xr:uid="{F306011A-2C5D-4AE5-9182-BCEB3A3B9BD0}"/>
    <cellStyle name="Comma 5" xfId="28" xr:uid="{54953DF0-4CCD-40DD-AEE4-662B6F20C4EE}"/>
    <cellStyle name="Comma 5 2" xfId="65" xr:uid="{722F8024-D863-4109-A3EA-8368B4D91E3D}"/>
    <cellStyle name="Comma 6" xfId="35" xr:uid="{34BC3D58-6D6E-4427-A943-235B2785BC0C}"/>
    <cellStyle name="Comma 6 2" xfId="71" xr:uid="{38D81241-A619-4439-920C-99E67281FA3F}"/>
    <cellStyle name="Comma 7" xfId="38" xr:uid="{B9637941-BFD3-4106-8188-022F96E4EB93}"/>
    <cellStyle name="Comma 7 2" xfId="73" xr:uid="{37324347-B50E-4F19-A256-0CD6A1943EA7}"/>
    <cellStyle name="Comma 8" xfId="44" xr:uid="{03C8C3DE-96F6-430D-80B8-D9BB3CBE987F}"/>
    <cellStyle name="Comma 8 2" xfId="76" xr:uid="{C9794658-C59D-40C2-ACAC-D6D891F487F4}"/>
    <cellStyle name="Comma 9" xfId="56" xr:uid="{7FDE01F0-7A0F-475E-895A-983576919DD8}"/>
    <cellStyle name="Currency" xfId="7" builtinId="4"/>
    <cellStyle name="Currency 2" xfId="4" xr:uid="{2706A6CE-E856-49F3-9458-55FAA4EBC0D6}"/>
    <cellStyle name="Currency 2 2" xfId="77" xr:uid="{21DB7DA5-12CE-4AFA-8A8A-A482F5319B6E}"/>
    <cellStyle name="Currency 2 3" xfId="47" xr:uid="{32B1CD5E-A531-46D6-8A88-91BD70689185}"/>
    <cellStyle name="Currency 3" xfId="11" xr:uid="{7DA14D01-D351-454D-843B-411952F8D655}"/>
    <cellStyle name="Currency 3 2" xfId="58" xr:uid="{B747D740-6D3A-4218-9596-7674E0EE2EF9}"/>
    <cellStyle name="Currency 4" xfId="78" xr:uid="{AC0C30C5-1148-4CB0-BD03-055E374803D9}"/>
    <cellStyle name="Currency 5" xfId="48" xr:uid="{32E7D42E-4B25-45AD-991B-9E17290417E3}"/>
    <cellStyle name="Hyperlink" xfId="2" builtinId="8"/>
    <cellStyle name="Hyperlink 2" xfId="46" xr:uid="{5B111619-EFBE-4686-904F-EECF5C3C0A4B}"/>
    <cellStyle name="Normal" xfId="0" builtinId="0"/>
    <cellStyle name="Normal 10" xfId="39" xr:uid="{7AB792F1-A525-44AA-AC5B-D76D5D44C110}"/>
    <cellStyle name="Normal 10 2" xfId="74" xr:uid="{622FD25D-D468-4048-9002-8AC32F32D9E8}"/>
    <cellStyle name="Normal 17" xfId="31" xr:uid="{04508DF7-6B08-47DE-BCE4-2C60442F83B3}"/>
    <cellStyle name="Normal 17 2" xfId="67" xr:uid="{10F232D7-090B-47D9-8A55-6745B5DD37A2}"/>
    <cellStyle name="Normal 2" xfId="3" xr:uid="{8C570286-12AF-4B34-B21E-27D9A8C51079}"/>
    <cellStyle name="Normal 2 2" xfId="6" xr:uid="{1E5B6FDA-418A-4E79-B223-AA6785D91F43}"/>
    <cellStyle name="Normal 2 2 2" xfId="36" xr:uid="{F3ADC20C-6879-44E8-BD73-75FD9DF1C982}"/>
    <cellStyle name="Normal 2 3" xfId="50" xr:uid="{7F4BA5EC-AF24-45EF-891D-F9355B66A7B7}"/>
    <cellStyle name="Normal 2 3 2" xfId="81" xr:uid="{DBDCC19C-DAF9-4483-BE54-EBEC57BCBA8E}"/>
    <cellStyle name="Normal 2 4" xfId="54" xr:uid="{CB6ADE26-A8D1-49AA-933D-A23ACF443FD8}"/>
    <cellStyle name="Normal 2 5" xfId="13" xr:uid="{52F92011-4F34-4D77-8FB4-372F43BC8C61}"/>
    <cellStyle name="Normal 3" xfId="24" xr:uid="{4439E8E8-914F-4F69-AF16-21B1F19D75EE}"/>
    <cellStyle name="Normal 3 2" xfId="32" xr:uid="{2A690D22-8CC9-4214-B0A6-33DE460346B5}"/>
    <cellStyle name="Normal 3 2 2" xfId="68" xr:uid="{C013DBB1-5331-4FC7-894E-A13E738ED0D2}"/>
    <cellStyle name="Normal 3 3" xfId="51" xr:uid="{1F322256-1B20-41E4-9B37-FD75B6BE08A2}"/>
    <cellStyle name="Normal 3 4" xfId="61" xr:uid="{0862DE59-EF52-4F31-83E4-92E49FAD416D}"/>
    <cellStyle name="Normal 4" xfId="26" xr:uid="{08A94BAA-9D43-4A24-8786-30F933A57A3D}"/>
    <cellStyle name="Normal 4 2" xfId="40" xr:uid="{73541910-9F39-4619-A7B8-281E522FC267}"/>
    <cellStyle name="Normal 4 3" xfId="45" xr:uid="{5BB96BB8-4423-4C92-AD59-F022D8075F08}"/>
    <cellStyle name="Normal 4 4" xfId="63" xr:uid="{2D390C83-DDB9-4D2A-9E31-35E4363C531B}"/>
    <cellStyle name="Normal 5" xfId="5" xr:uid="{1B294725-7E65-4BFE-9934-2CA54A16319C}"/>
    <cellStyle name="Normal 5 2" xfId="64" xr:uid="{91EA2103-9A0F-4EE7-B2D3-B92B0B0CEC68}"/>
    <cellStyle name="Normal 5 3" xfId="27" xr:uid="{046C082B-A122-4887-89D0-368DC5C8893A}"/>
    <cellStyle name="Normal 6" xfId="29" xr:uid="{B2B9865A-FA8E-41BB-9B24-1CDDDF2AD7E3}"/>
    <cellStyle name="Normal 7" xfId="34" xr:uid="{987007DD-1B81-4A7D-9B72-76E0798828B4}"/>
    <cellStyle name="Normal 7 2" xfId="70" xr:uid="{391382B6-855B-44CC-9DF4-9CFC70C6AA48}"/>
    <cellStyle name="Normal 8" xfId="43" xr:uid="{911D6C71-27B7-429D-923C-45E84949689C}"/>
    <cellStyle name="Normal 8 2" xfId="41" xr:uid="{2ACDF5E9-8DA2-40F1-BE75-82FBDF5E4980}"/>
    <cellStyle name="Normal 8 3" xfId="75" xr:uid="{B90F27E0-0B09-44F8-88B8-7107DFF589E3}"/>
    <cellStyle name="Normal 9" xfId="83" xr:uid="{BBF75416-EAD4-47C8-B6E2-F350FDA9A182}"/>
    <cellStyle name="Percent 2" xfId="12" xr:uid="{0D9E22AD-277E-4D47-92EC-DCDF0A93A0AE}"/>
    <cellStyle name="Percent 3" xfId="15" xr:uid="{914F769B-E7F2-4EC4-8E80-0F51181DA0F2}"/>
    <cellStyle name="Percent 3 2" xfId="60" xr:uid="{4F6331E7-BB96-43FF-A686-9B904B662C7E}"/>
    <cellStyle name="Percent 4" xfId="9" xr:uid="{040FF8DE-3E96-48E0-AF22-8BA2D2C95CF7}"/>
    <cellStyle name="SAPDataCell" xfId="19" xr:uid="{EF80E21D-BD7A-45FB-A867-DB2AA0BF1DBC}"/>
    <cellStyle name="SAPDimensionCell" xfId="16" xr:uid="{FB643A52-87FA-4DA6-A457-E9BC093C605C}"/>
    <cellStyle name="SAPHierarchyCell0" xfId="23" xr:uid="{0D2F4873-4D09-4792-A62B-43A01544A4CC}"/>
    <cellStyle name="SAPHierarchyCell1" xfId="22" xr:uid="{1EE00791-5757-4506-A9C8-2F76C80BE26E}"/>
    <cellStyle name="SAPHierarchyCell2" xfId="21" xr:uid="{42A82136-5914-4E04-B0D6-3C9D9A8CD5B7}"/>
    <cellStyle name="SAPHierarchyCell3" xfId="20" xr:uid="{F002D0ED-3915-4B8E-8B1F-8BBB39D0B8A2}"/>
    <cellStyle name="SAPHierarchyCell4" xfId="18" xr:uid="{86CD49EA-121E-4C0A-93A7-8BF3CD73D52E}"/>
    <cellStyle name="SAPMemberCell" xfId="17" xr:uid="{2825C91B-1190-4B08-B226-773861C21CD1}"/>
  </cellStyles>
  <dxfs count="24">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dxf>
    <dxf>
      <font>
        <condense val="0"/>
        <extend val="0"/>
        <color indexed="9"/>
      </font>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123825</xdr:rowOff>
    </xdr:from>
    <xdr:to>
      <xdr:col>7</xdr:col>
      <xdr:colOff>0</xdr:colOff>
      <xdr:row>8</xdr:row>
      <xdr:rowOff>123825</xdr:rowOff>
    </xdr:to>
    <xdr:pic>
      <xdr:nvPicPr>
        <xdr:cNvPr id="2" name="Picture 5" descr="2bcclogo">
          <a:extLst>
            <a:ext uri="{FF2B5EF4-FFF2-40B4-BE49-F238E27FC236}">
              <a16:creationId xmlns:a16="http://schemas.microsoft.com/office/drawing/2014/main" id="{C9C352DC-73EE-4BFB-92D5-55D6E33266EC}"/>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14325" y="447675"/>
          <a:ext cx="47148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eslie_oosthuizen_birmingham_gov_uk/Documents/Documents/CFR/Current-Blade-Export/Blade-Export_15-08-2022_cfr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e-Export_15-08-2022_cfrdata"/>
      <sheetName val="Blade-Export_15-08-2022_sources"/>
    </sheetNames>
    <sheetDataSet>
      <sheetData sheetId="0"/>
      <sheetData sheetId="1">
        <row r="1">
          <cell r="B1" t="str">
            <v>NativeId</v>
          </cell>
          <cell r="F1" t="str">
            <v>lea</v>
          </cell>
          <cell r="G1" t="str">
            <v>estab</v>
          </cell>
          <cell r="H1" t="str">
            <v>schoolname</v>
          </cell>
        </row>
        <row r="2">
          <cell r="B2">
            <v>3302231</v>
          </cell>
          <cell r="F2">
            <v>330</v>
          </cell>
          <cell r="G2">
            <v>2231</v>
          </cell>
          <cell r="H2" t="str">
            <v>YORKMEAD JI NC</v>
          </cell>
        </row>
        <row r="3">
          <cell r="B3">
            <v>3302227</v>
          </cell>
          <cell r="F3">
            <v>330</v>
          </cell>
          <cell r="G3">
            <v>2227</v>
          </cell>
          <cell r="H3" t="str">
            <v>YARDLEY WOOD JI NC</v>
          </cell>
        </row>
        <row r="4">
          <cell r="B4">
            <v>3303421</v>
          </cell>
          <cell r="F4">
            <v>330</v>
          </cell>
          <cell r="G4">
            <v>3421</v>
          </cell>
          <cell r="H4" t="str">
            <v xml:space="preserve">YARDLEY JI </v>
          </cell>
        </row>
        <row r="5">
          <cell r="B5">
            <v>3302412</v>
          </cell>
          <cell r="F5">
            <v>330</v>
          </cell>
          <cell r="G5">
            <v>2412</v>
          </cell>
          <cell r="H5" t="str">
            <v xml:space="preserve">WYLDE GREEN JI </v>
          </cell>
        </row>
        <row r="6">
          <cell r="B6">
            <v>3302225</v>
          </cell>
          <cell r="F6">
            <v>330</v>
          </cell>
          <cell r="G6">
            <v>2225</v>
          </cell>
          <cell r="H6" t="str">
            <v xml:space="preserve">WORLDS END J </v>
          </cell>
        </row>
        <row r="7">
          <cell r="B7">
            <v>3302317</v>
          </cell>
          <cell r="F7">
            <v>330</v>
          </cell>
          <cell r="G7">
            <v>2317</v>
          </cell>
          <cell r="H7" t="str">
            <v>WORLDS END I NC</v>
          </cell>
        </row>
        <row r="8">
          <cell r="B8">
            <v>3302314</v>
          </cell>
          <cell r="F8">
            <v>330</v>
          </cell>
          <cell r="G8">
            <v>2314</v>
          </cell>
          <cell r="H8" t="str">
            <v xml:space="preserve">WOODTHORPE JI </v>
          </cell>
        </row>
        <row r="9">
          <cell r="B9">
            <v>3302278</v>
          </cell>
          <cell r="F9">
            <v>330</v>
          </cell>
          <cell r="G9">
            <v>2278</v>
          </cell>
          <cell r="H9" t="str">
            <v xml:space="preserve">WOODGATE JI </v>
          </cell>
        </row>
        <row r="10">
          <cell r="B10">
            <v>3302445</v>
          </cell>
          <cell r="F10">
            <v>330</v>
          </cell>
          <cell r="G10">
            <v>2445</v>
          </cell>
          <cell r="H10" t="str">
            <v xml:space="preserve">WOODCOCK HILL JI </v>
          </cell>
        </row>
        <row r="11">
          <cell r="B11">
            <v>3302293</v>
          </cell>
          <cell r="F11">
            <v>330</v>
          </cell>
          <cell r="G11">
            <v>2293</v>
          </cell>
          <cell r="H11" t="str">
            <v>William Murdoch Primary School (formerly Wilkes Green J)</v>
          </cell>
        </row>
        <row r="12">
          <cell r="B12">
            <v>3302478</v>
          </cell>
          <cell r="F12">
            <v>330</v>
          </cell>
          <cell r="G12">
            <v>2478</v>
          </cell>
          <cell r="H12" t="str">
            <v>WHITEHOUSE COMMON JI NC</v>
          </cell>
        </row>
        <row r="13">
          <cell r="B13">
            <v>3304193</v>
          </cell>
          <cell r="F13">
            <v>330</v>
          </cell>
          <cell r="G13">
            <v>4193</v>
          </cell>
          <cell r="H13" t="str">
            <v xml:space="preserve">WHEELERS LANE Sec </v>
          </cell>
        </row>
        <row r="14">
          <cell r="B14">
            <v>3302011</v>
          </cell>
          <cell r="F14">
            <v>330</v>
          </cell>
          <cell r="G14">
            <v>2011</v>
          </cell>
          <cell r="H14" t="str">
            <v>WHEELERS LANE JI NC</v>
          </cell>
        </row>
        <row r="15">
          <cell r="B15">
            <v>3302019</v>
          </cell>
          <cell r="F15">
            <v>330</v>
          </cell>
          <cell r="G15">
            <v>2019</v>
          </cell>
          <cell r="H15" t="str">
            <v xml:space="preserve">WEST HEATH JI </v>
          </cell>
        </row>
        <row r="16">
          <cell r="B16">
            <v>3301014</v>
          </cell>
          <cell r="F16">
            <v>330</v>
          </cell>
          <cell r="G16">
            <v>1014</v>
          </cell>
          <cell r="H16" t="str">
            <v>WEST HEATH Nurs</v>
          </cell>
        </row>
        <row r="17">
          <cell r="B17">
            <v>3301020</v>
          </cell>
          <cell r="F17">
            <v>330</v>
          </cell>
          <cell r="G17">
            <v>1020</v>
          </cell>
          <cell r="H17" t="str">
            <v>WEOLEY CASTLE Nurs</v>
          </cell>
        </row>
        <row r="18">
          <cell r="B18">
            <v>3302245</v>
          </cell>
          <cell r="F18">
            <v>330</v>
          </cell>
          <cell r="G18">
            <v>2245</v>
          </cell>
          <cell r="H18" t="str">
            <v>WELSH HOUSE FARM JI NC</v>
          </cell>
        </row>
        <row r="19">
          <cell r="B19">
            <v>3302308</v>
          </cell>
          <cell r="F19">
            <v>330</v>
          </cell>
          <cell r="G19">
            <v>2308</v>
          </cell>
          <cell r="H19" t="str">
            <v>WELFORD JI NC</v>
          </cell>
        </row>
        <row r="20">
          <cell r="B20">
            <v>3302482</v>
          </cell>
          <cell r="F20">
            <v>330</v>
          </cell>
          <cell r="G20">
            <v>2482</v>
          </cell>
          <cell r="H20" t="str">
            <v>WATTVILLE JI NC</v>
          </cell>
        </row>
        <row r="21">
          <cell r="B21">
            <v>3302306</v>
          </cell>
          <cell r="F21">
            <v>330</v>
          </cell>
          <cell r="G21">
            <v>2306</v>
          </cell>
          <cell r="H21" t="str">
            <v xml:space="preserve">WATERMILL JI </v>
          </cell>
        </row>
        <row r="22">
          <cell r="B22">
            <v>3301019</v>
          </cell>
          <cell r="F22">
            <v>330</v>
          </cell>
          <cell r="G22">
            <v>1019</v>
          </cell>
          <cell r="H22" t="str">
            <v>WASHWOOD HEATH Nurs</v>
          </cell>
        </row>
        <row r="23">
          <cell r="B23">
            <v>3302108</v>
          </cell>
          <cell r="F23">
            <v>330</v>
          </cell>
          <cell r="G23">
            <v>2108</v>
          </cell>
          <cell r="H23" t="str">
            <v>WARD END JI NC</v>
          </cell>
        </row>
        <row r="24">
          <cell r="B24">
            <v>3305202</v>
          </cell>
          <cell r="F24">
            <v>330</v>
          </cell>
          <cell r="G24">
            <v>5202</v>
          </cell>
          <cell r="H24" t="str">
            <v xml:space="preserve">WALMLEY J </v>
          </cell>
        </row>
        <row r="25">
          <cell r="B25">
            <v>3305203</v>
          </cell>
          <cell r="F25">
            <v>330</v>
          </cell>
          <cell r="G25">
            <v>5203</v>
          </cell>
          <cell r="H25" t="str">
            <v>WALMLEY I NC</v>
          </cell>
        </row>
        <row r="26">
          <cell r="B26">
            <v>3307009</v>
          </cell>
          <cell r="F26">
            <v>330</v>
          </cell>
          <cell r="G26">
            <v>7009</v>
          </cell>
          <cell r="H26" t="str">
            <v>VICTORIA Spec</v>
          </cell>
        </row>
        <row r="27">
          <cell r="B27">
            <v>3307014</v>
          </cell>
          <cell r="F27">
            <v>330</v>
          </cell>
          <cell r="G27">
            <v>7014</v>
          </cell>
          <cell r="H27" t="str">
            <v>UFFCULME Spec</v>
          </cell>
        </row>
        <row r="28">
          <cell r="B28">
            <v>3304187</v>
          </cell>
          <cell r="F28">
            <v>330</v>
          </cell>
          <cell r="G28">
            <v>4187</v>
          </cell>
          <cell r="H28" t="str">
            <v xml:space="preserve">TURVES GREEN GIRLS Sec </v>
          </cell>
        </row>
        <row r="29">
          <cell r="B29">
            <v>3304188</v>
          </cell>
          <cell r="F29">
            <v>330</v>
          </cell>
          <cell r="G29">
            <v>4188</v>
          </cell>
          <cell r="H29" t="str">
            <v xml:space="preserve">TURVES GREEN BOYS Sec </v>
          </cell>
        </row>
        <row r="30">
          <cell r="B30">
            <v>3302192</v>
          </cell>
          <cell r="F30">
            <v>330</v>
          </cell>
          <cell r="G30">
            <v>2192</v>
          </cell>
          <cell r="H30" t="str">
            <v xml:space="preserve">THORNTON JI </v>
          </cell>
        </row>
        <row r="31">
          <cell r="B31">
            <v>3303325</v>
          </cell>
          <cell r="F31">
            <v>330</v>
          </cell>
          <cell r="G31">
            <v>3325</v>
          </cell>
          <cell r="H31" t="str">
            <v>ROSARY RC JI NC</v>
          </cell>
        </row>
        <row r="32">
          <cell r="B32">
            <v>3307045</v>
          </cell>
          <cell r="F32">
            <v>330</v>
          </cell>
          <cell r="G32">
            <v>7045</v>
          </cell>
          <cell r="H32" t="str">
            <v>PINES Spec</v>
          </cell>
        </row>
        <row r="33">
          <cell r="B33">
            <v>3303323</v>
          </cell>
          <cell r="F33">
            <v>330</v>
          </cell>
          <cell r="G33">
            <v>3323</v>
          </cell>
          <cell r="H33" t="str">
            <v>ORATORY RC JI NC</v>
          </cell>
        </row>
        <row r="34">
          <cell r="B34">
            <v>3302018</v>
          </cell>
          <cell r="F34">
            <v>330</v>
          </cell>
          <cell r="G34">
            <v>2018</v>
          </cell>
          <cell r="H34" t="str">
            <v>OAKS, THE JI NC</v>
          </cell>
        </row>
        <row r="35">
          <cell r="B35">
            <v>3302246</v>
          </cell>
          <cell r="F35">
            <v>330</v>
          </cell>
          <cell r="G35">
            <v>2246</v>
          </cell>
          <cell r="H35" t="str">
            <v xml:space="preserve">MEADOWS JI </v>
          </cell>
        </row>
        <row r="36">
          <cell r="B36">
            <v>3307035</v>
          </cell>
          <cell r="F36">
            <v>330</v>
          </cell>
          <cell r="G36">
            <v>7035</v>
          </cell>
          <cell r="H36" t="str">
            <v>DAME ELLEN PINSENT Spec</v>
          </cell>
        </row>
        <row r="37">
          <cell r="B37">
            <v>3304237</v>
          </cell>
          <cell r="F37">
            <v>330</v>
          </cell>
          <cell r="G37">
            <v>4237</v>
          </cell>
          <cell r="H37" t="str">
            <v xml:space="preserve">SWANSHURST Sec (16+) </v>
          </cell>
        </row>
        <row r="38">
          <cell r="B38">
            <v>3302190</v>
          </cell>
          <cell r="F38">
            <v>330</v>
          </cell>
          <cell r="G38">
            <v>2190</v>
          </cell>
          <cell r="H38" t="str">
            <v xml:space="preserve">SUNDRIDGE JI </v>
          </cell>
        </row>
        <row r="39">
          <cell r="B39">
            <v>3302067</v>
          </cell>
          <cell r="F39">
            <v>330</v>
          </cell>
          <cell r="G39">
            <v>2067</v>
          </cell>
          <cell r="H39" t="str">
            <v>SUMMERFIELD JI NC</v>
          </cell>
        </row>
        <row r="40">
          <cell r="B40">
            <v>3302184</v>
          </cell>
          <cell r="F40">
            <v>330</v>
          </cell>
          <cell r="G40">
            <v>2184</v>
          </cell>
          <cell r="H40" t="str">
            <v>STECHFORD JI NC</v>
          </cell>
        </row>
        <row r="41">
          <cell r="B41">
            <v>3302178</v>
          </cell>
          <cell r="F41">
            <v>330</v>
          </cell>
          <cell r="G41">
            <v>2178</v>
          </cell>
          <cell r="H41" t="str">
            <v>STANVILLE JI NC</v>
          </cell>
        </row>
        <row r="42">
          <cell r="B42">
            <v>3303310</v>
          </cell>
          <cell r="F42">
            <v>330</v>
          </cell>
          <cell r="G42">
            <v>3310</v>
          </cell>
          <cell r="H42" t="str">
            <v>ST VINCENT'S RC JI NC</v>
          </cell>
        </row>
        <row r="43">
          <cell r="B43">
            <v>3301009</v>
          </cell>
          <cell r="F43">
            <v>330</v>
          </cell>
          <cell r="G43">
            <v>1009</v>
          </cell>
          <cell r="H43" t="str">
            <v>ST THOMAS Nurs</v>
          </cell>
        </row>
        <row r="44">
          <cell r="B44">
            <v>3303365</v>
          </cell>
          <cell r="F44">
            <v>330</v>
          </cell>
          <cell r="G44">
            <v>3365</v>
          </cell>
          <cell r="H44" t="str">
            <v xml:space="preserve">ST TERESA'S RC JI </v>
          </cell>
        </row>
        <row r="45">
          <cell r="B45">
            <v>3303019</v>
          </cell>
          <cell r="F45">
            <v>330</v>
          </cell>
          <cell r="G45">
            <v>3019</v>
          </cell>
          <cell r="H45" t="str">
            <v xml:space="preserve">ST SAVIOUR'S CE JI </v>
          </cell>
        </row>
        <row r="46">
          <cell r="B46">
            <v>3303428</v>
          </cell>
          <cell r="F46">
            <v>330</v>
          </cell>
          <cell r="G46">
            <v>3428</v>
          </cell>
          <cell r="H46" t="str">
            <v>ST PETER'S CE JI NC</v>
          </cell>
        </row>
        <row r="47">
          <cell r="B47">
            <v>3303385</v>
          </cell>
          <cell r="F47">
            <v>330</v>
          </cell>
          <cell r="G47">
            <v>3385</v>
          </cell>
          <cell r="H47" t="str">
            <v xml:space="preserve">ST PETER'S RC JI </v>
          </cell>
        </row>
        <row r="48">
          <cell r="B48">
            <v>3304606</v>
          </cell>
          <cell r="F48">
            <v>330</v>
          </cell>
          <cell r="G48">
            <v>4606</v>
          </cell>
          <cell r="H48" t="str">
            <v xml:space="preserve">ST PAUL'S RC GIRLS Sec (16+) </v>
          </cell>
        </row>
        <row r="49">
          <cell r="B49">
            <v>3303346</v>
          </cell>
          <cell r="F49">
            <v>330</v>
          </cell>
          <cell r="G49">
            <v>3346</v>
          </cell>
          <cell r="H49" t="str">
            <v xml:space="preserve">ST PATRICK'S RC JI </v>
          </cell>
        </row>
        <row r="50">
          <cell r="B50">
            <v>3303016</v>
          </cell>
          <cell r="F50">
            <v>330</v>
          </cell>
          <cell r="G50">
            <v>3016</v>
          </cell>
          <cell r="H50" t="str">
            <v xml:space="preserve">ST MATTHEW'S CE JI </v>
          </cell>
        </row>
        <row r="51">
          <cell r="B51">
            <v>3303025</v>
          </cell>
          <cell r="F51">
            <v>330</v>
          </cell>
          <cell r="G51">
            <v>3025</v>
          </cell>
          <cell r="H51" t="str">
            <v xml:space="preserve">ST MARY'S CE (B29) JI </v>
          </cell>
        </row>
        <row r="52">
          <cell r="B52">
            <v>3303344</v>
          </cell>
          <cell r="F52">
            <v>330</v>
          </cell>
          <cell r="G52">
            <v>3344</v>
          </cell>
          <cell r="H52" t="str">
            <v xml:space="preserve">ST MARY'S RC (B17) JI </v>
          </cell>
        </row>
        <row r="53">
          <cell r="B53">
            <v>3303382</v>
          </cell>
          <cell r="F53">
            <v>330</v>
          </cell>
          <cell r="G53">
            <v>3382</v>
          </cell>
          <cell r="H53" t="str">
            <v xml:space="preserve">ST MARTIN de PORRES RC JI </v>
          </cell>
        </row>
        <row r="54">
          <cell r="B54">
            <v>3303383</v>
          </cell>
          <cell r="F54">
            <v>330</v>
          </cell>
          <cell r="G54">
            <v>3383</v>
          </cell>
          <cell r="H54" t="str">
            <v xml:space="preserve">ST MARK'S RC JI </v>
          </cell>
        </row>
        <row r="55">
          <cell r="B55">
            <v>3303361</v>
          </cell>
          <cell r="F55">
            <v>330</v>
          </cell>
          <cell r="G55">
            <v>3361</v>
          </cell>
          <cell r="H55" t="str">
            <v xml:space="preserve">ST MARGARET MARY RC JI </v>
          </cell>
        </row>
        <row r="56">
          <cell r="B56">
            <v>3303307</v>
          </cell>
          <cell r="F56">
            <v>330</v>
          </cell>
          <cell r="G56">
            <v>3307</v>
          </cell>
          <cell r="H56" t="str">
            <v xml:space="preserve">ST LAURENCE CE J </v>
          </cell>
        </row>
        <row r="57">
          <cell r="B57">
            <v>3303371</v>
          </cell>
          <cell r="F57">
            <v>330</v>
          </cell>
          <cell r="G57">
            <v>3371</v>
          </cell>
          <cell r="H57" t="str">
            <v xml:space="preserve">ST LAURENCE CE I </v>
          </cell>
        </row>
        <row r="58">
          <cell r="B58">
            <v>3303377</v>
          </cell>
          <cell r="F58">
            <v>330</v>
          </cell>
          <cell r="G58">
            <v>3377</v>
          </cell>
          <cell r="H58" t="str">
            <v xml:space="preserve">ST JUDE'S RC JI </v>
          </cell>
        </row>
        <row r="59">
          <cell r="B59">
            <v>3303339</v>
          </cell>
          <cell r="F59">
            <v>330</v>
          </cell>
          <cell r="G59">
            <v>3339</v>
          </cell>
          <cell r="H59" t="str">
            <v xml:space="preserve">ST JOSEPH'S RC (B7) JI </v>
          </cell>
        </row>
        <row r="60">
          <cell r="B60">
            <v>3304625</v>
          </cell>
          <cell r="F60">
            <v>330</v>
          </cell>
          <cell r="G60">
            <v>4625</v>
          </cell>
          <cell r="H60" t="str">
            <v xml:space="preserve">ST JOHN WALL RC Sec </v>
          </cell>
        </row>
        <row r="61">
          <cell r="B61">
            <v>3303010</v>
          </cell>
          <cell r="F61">
            <v>330</v>
          </cell>
          <cell r="G61">
            <v>3010</v>
          </cell>
          <cell r="H61" t="str">
            <v xml:space="preserve">ST JAMES CE JI </v>
          </cell>
        </row>
        <row r="62">
          <cell r="B62">
            <v>3303367</v>
          </cell>
          <cell r="F62">
            <v>330</v>
          </cell>
          <cell r="G62">
            <v>3367</v>
          </cell>
          <cell r="H62" t="str">
            <v>ST GERARD'S RC JI NC</v>
          </cell>
        </row>
        <row r="63">
          <cell r="B63">
            <v>3303342</v>
          </cell>
          <cell r="F63">
            <v>330</v>
          </cell>
          <cell r="G63">
            <v>3342</v>
          </cell>
          <cell r="H63" t="str">
            <v xml:space="preserve">ST FRANCIS RC JI </v>
          </cell>
        </row>
        <row r="64">
          <cell r="B64">
            <v>3303355</v>
          </cell>
          <cell r="F64">
            <v>330</v>
          </cell>
          <cell r="G64">
            <v>3355</v>
          </cell>
          <cell r="H64" t="str">
            <v xml:space="preserve">ST EDWARD'S RC JI </v>
          </cell>
        </row>
        <row r="65">
          <cell r="B65">
            <v>3303347</v>
          </cell>
          <cell r="F65">
            <v>330</v>
          </cell>
          <cell r="G65">
            <v>3347</v>
          </cell>
          <cell r="H65" t="str">
            <v>ST EDMUND'S RC JI NC</v>
          </cell>
        </row>
        <row r="66">
          <cell r="B66">
            <v>3303363</v>
          </cell>
          <cell r="F66">
            <v>330</v>
          </cell>
          <cell r="G66">
            <v>3363</v>
          </cell>
          <cell r="H66" t="str">
            <v>ST DUNSTAN'S RC JI NC</v>
          </cell>
        </row>
        <row r="67">
          <cell r="B67">
            <v>3303386</v>
          </cell>
          <cell r="F67">
            <v>330</v>
          </cell>
          <cell r="G67">
            <v>3386</v>
          </cell>
          <cell r="H67" t="str">
            <v>ST CUTHBERTS RC JI NC</v>
          </cell>
        </row>
        <row r="68">
          <cell r="B68">
            <v>3303406</v>
          </cell>
          <cell r="F68">
            <v>330</v>
          </cell>
          <cell r="G68">
            <v>3406</v>
          </cell>
          <cell r="H68" t="str">
            <v>ST CLARE'S RC JI NC</v>
          </cell>
        </row>
        <row r="69">
          <cell r="B69">
            <v>3303337</v>
          </cell>
          <cell r="F69">
            <v>330</v>
          </cell>
          <cell r="G69">
            <v>3337</v>
          </cell>
          <cell r="H69" t="str">
            <v xml:space="preserve">ST CHAD'S RC JI </v>
          </cell>
        </row>
        <row r="70">
          <cell r="B70">
            <v>3303331</v>
          </cell>
          <cell r="F70">
            <v>330</v>
          </cell>
          <cell r="G70">
            <v>3331</v>
          </cell>
          <cell r="H70" t="str">
            <v>ST CATHERINE'S RC JI NC</v>
          </cell>
        </row>
        <row r="71">
          <cell r="B71">
            <v>3303375</v>
          </cell>
          <cell r="F71">
            <v>330</v>
          </cell>
          <cell r="G71">
            <v>3375</v>
          </cell>
          <cell r="H71" t="str">
            <v xml:space="preserve">ST BERNARD'S RC JI </v>
          </cell>
        </row>
        <row r="72">
          <cell r="B72">
            <v>3303372</v>
          </cell>
          <cell r="F72">
            <v>330</v>
          </cell>
          <cell r="G72">
            <v>3372</v>
          </cell>
          <cell r="H72" t="str">
            <v>ST BERNADETTE'S RC JI NC</v>
          </cell>
        </row>
        <row r="73">
          <cell r="B73">
            <v>3302183</v>
          </cell>
          <cell r="F73">
            <v>330</v>
          </cell>
          <cell r="G73">
            <v>2183</v>
          </cell>
          <cell r="H73" t="str">
            <v>ST BENEDICT'S I NC</v>
          </cell>
        </row>
        <row r="74">
          <cell r="B74">
            <v>3303329</v>
          </cell>
          <cell r="F74">
            <v>330</v>
          </cell>
          <cell r="G74">
            <v>3329</v>
          </cell>
          <cell r="H74" t="str">
            <v>ST AUGUSTINE'S RC JI NC</v>
          </cell>
        </row>
        <row r="75">
          <cell r="B75">
            <v>3303335</v>
          </cell>
          <cell r="F75">
            <v>330</v>
          </cell>
          <cell r="G75">
            <v>3335</v>
          </cell>
          <cell r="H75" t="str">
            <v xml:space="preserve">ST ANNE'S RC JI </v>
          </cell>
        </row>
        <row r="76">
          <cell r="B76">
            <v>3303380</v>
          </cell>
          <cell r="F76">
            <v>330</v>
          </cell>
          <cell r="G76">
            <v>3380</v>
          </cell>
          <cell r="H76" t="str">
            <v xml:space="preserve">ST AMBROSE BARLOW RC JI </v>
          </cell>
        </row>
        <row r="77">
          <cell r="B77">
            <v>3303381</v>
          </cell>
          <cell r="F77">
            <v>330</v>
          </cell>
          <cell r="G77">
            <v>3381</v>
          </cell>
          <cell r="H77" t="str">
            <v xml:space="preserve">ST ALBANS RC JI </v>
          </cell>
        </row>
        <row r="78">
          <cell r="B78">
            <v>3303410</v>
          </cell>
          <cell r="F78">
            <v>330</v>
          </cell>
          <cell r="G78">
            <v>3410</v>
          </cell>
          <cell r="H78" t="str">
            <v xml:space="preserve">ST JOHN &amp; ST MONICA RC JI </v>
          </cell>
        </row>
        <row r="79">
          <cell r="B79">
            <v>3307047</v>
          </cell>
          <cell r="F79">
            <v>330</v>
          </cell>
          <cell r="G79">
            <v>7047</v>
          </cell>
          <cell r="H79" t="str">
            <v>SPRINGFIELD HOUSE Spec</v>
          </cell>
        </row>
        <row r="80">
          <cell r="B80">
            <v>3302176</v>
          </cell>
          <cell r="F80">
            <v>330</v>
          </cell>
          <cell r="G80">
            <v>2176</v>
          </cell>
          <cell r="H80" t="str">
            <v>SOMERVILLE JI NC</v>
          </cell>
        </row>
        <row r="81">
          <cell r="B81">
            <v>3302174</v>
          </cell>
          <cell r="F81">
            <v>330</v>
          </cell>
          <cell r="G81">
            <v>2174</v>
          </cell>
          <cell r="H81" t="str">
            <v xml:space="preserve">SLADEFIELD I </v>
          </cell>
        </row>
        <row r="82">
          <cell r="B82">
            <v>3307037</v>
          </cell>
          <cell r="F82">
            <v>330</v>
          </cell>
          <cell r="G82">
            <v>7037</v>
          </cell>
          <cell r="H82" t="str">
            <v>SKILTS Spec</v>
          </cell>
        </row>
        <row r="83">
          <cell r="B83">
            <v>3301038</v>
          </cell>
          <cell r="F83">
            <v>330</v>
          </cell>
          <cell r="G83">
            <v>1038</v>
          </cell>
          <cell r="H83" t="str">
            <v>SHENLEY FIELDS Nurs</v>
          </cell>
        </row>
        <row r="84">
          <cell r="B84">
            <v>3302008</v>
          </cell>
          <cell r="F84">
            <v>330</v>
          </cell>
          <cell r="G84">
            <v>2008</v>
          </cell>
          <cell r="H84" t="str">
            <v>SHAW HILL JI NC</v>
          </cell>
        </row>
        <row r="85">
          <cell r="B85">
            <v>3302169</v>
          </cell>
          <cell r="F85">
            <v>330</v>
          </cell>
          <cell r="G85">
            <v>2169</v>
          </cell>
          <cell r="H85" t="str">
            <v>SEVERNE JI NC</v>
          </cell>
        </row>
        <row r="86">
          <cell r="B86">
            <v>3304177</v>
          </cell>
          <cell r="F86">
            <v>330</v>
          </cell>
          <cell r="G86">
            <v>4177</v>
          </cell>
          <cell r="H86" t="str">
            <v xml:space="preserve">SELLY PARK TECH COLLEGE FOR GIRLS Sec </v>
          </cell>
        </row>
        <row r="87">
          <cell r="B87">
            <v>3307033</v>
          </cell>
          <cell r="F87">
            <v>330</v>
          </cell>
          <cell r="G87">
            <v>7033</v>
          </cell>
          <cell r="H87" t="str">
            <v>SELLY OAK Spec</v>
          </cell>
        </row>
        <row r="88">
          <cell r="B88">
            <v>3301018</v>
          </cell>
          <cell r="F88">
            <v>330</v>
          </cell>
          <cell r="G88">
            <v>1018</v>
          </cell>
          <cell r="H88" t="str">
            <v>RUBERY Nurs</v>
          </cell>
        </row>
        <row r="89">
          <cell r="B89">
            <v>3302063</v>
          </cell>
          <cell r="F89">
            <v>330</v>
          </cell>
          <cell r="G89">
            <v>2063</v>
          </cell>
          <cell r="H89" t="str">
            <v>REGENTS PARK JI NC</v>
          </cell>
        </row>
        <row r="90">
          <cell r="B90">
            <v>3302160</v>
          </cell>
          <cell r="F90">
            <v>330</v>
          </cell>
          <cell r="G90">
            <v>2160</v>
          </cell>
          <cell r="H90" t="str">
            <v xml:space="preserve">REDNAL HILL J </v>
          </cell>
        </row>
        <row r="91">
          <cell r="B91">
            <v>3302161</v>
          </cell>
          <cell r="F91">
            <v>330</v>
          </cell>
          <cell r="G91">
            <v>2161</v>
          </cell>
          <cell r="H91" t="str">
            <v>REDNAL HILL I NC</v>
          </cell>
        </row>
        <row r="92">
          <cell r="B92">
            <v>3302159</v>
          </cell>
          <cell r="F92">
            <v>330</v>
          </cell>
          <cell r="G92">
            <v>2159</v>
          </cell>
          <cell r="H92" t="str">
            <v>REDHILL JI NC</v>
          </cell>
        </row>
        <row r="93">
          <cell r="B93">
            <v>3302157</v>
          </cell>
          <cell r="F93">
            <v>330</v>
          </cell>
          <cell r="G93">
            <v>2157</v>
          </cell>
          <cell r="H93" t="str">
            <v>RADDLEBARN JI NC</v>
          </cell>
        </row>
        <row r="94">
          <cell r="B94">
            <v>3304173</v>
          </cell>
          <cell r="F94">
            <v>330</v>
          </cell>
          <cell r="G94">
            <v>4173</v>
          </cell>
          <cell r="H94" t="str">
            <v xml:space="preserve">QUEENSBRIDGE Sec </v>
          </cell>
        </row>
        <row r="95">
          <cell r="B95">
            <v>3307034</v>
          </cell>
          <cell r="F95">
            <v>330</v>
          </cell>
          <cell r="G95">
            <v>7034</v>
          </cell>
          <cell r="H95" t="str">
            <v>PRIESTLEY SMITH Spec</v>
          </cell>
        </row>
        <row r="96">
          <cell r="B96">
            <v>3302097</v>
          </cell>
          <cell r="F96">
            <v>330</v>
          </cell>
          <cell r="G96">
            <v>2097</v>
          </cell>
          <cell r="H96" t="str">
            <v>STORY WOOD SCHOOL AND CHILDREN'S CENTRE  JI NC</v>
          </cell>
        </row>
        <row r="97">
          <cell r="B97">
            <v>3301008</v>
          </cell>
          <cell r="F97">
            <v>330</v>
          </cell>
          <cell r="G97">
            <v>1008</v>
          </cell>
          <cell r="H97" t="str">
            <v>PERRY BEECHES Nurs</v>
          </cell>
        </row>
        <row r="98">
          <cell r="B98">
            <v>3302016</v>
          </cell>
          <cell r="F98">
            <v>330</v>
          </cell>
          <cell r="G98">
            <v>2016</v>
          </cell>
          <cell r="H98" t="str">
            <v xml:space="preserve">PERRY BEECHES J </v>
          </cell>
        </row>
        <row r="99">
          <cell r="B99">
            <v>3302017</v>
          </cell>
          <cell r="F99">
            <v>330</v>
          </cell>
          <cell r="G99">
            <v>2017</v>
          </cell>
          <cell r="H99" t="str">
            <v xml:space="preserve">BEECHES I (Formerly PERRY BEECHES I) </v>
          </cell>
        </row>
        <row r="100">
          <cell r="B100">
            <v>3302425</v>
          </cell>
          <cell r="F100">
            <v>330</v>
          </cell>
          <cell r="G100">
            <v>2425</v>
          </cell>
          <cell r="H100" t="str">
            <v xml:space="preserve">PENNS JI </v>
          </cell>
        </row>
        <row r="101">
          <cell r="B101">
            <v>3302150</v>
          </cell>
          <cell r="F101">
            <v>330</v>
          </cell>
          <cell r="G101">
            <v>2150</v>
          </cell>
          <cell r="H101" t="str">
            <v>PARK HILL JI NC</v>
          </cell>
        </row>
        <row r="102">
          <cell r="B102">
            <v>3302149</v>
          </cell>
          <cell r="F102">
            <v>330</v>
          </cell>
          <cell r="G102">
            <v>2149</v>
          </cell>
          <cell r="H102" t="str">
            <v>PAGET JI NC</v>
          </cell>
        </row>
        <row r="103">
          <cell r="B103">
            <v>3302021</v>
          </cell>
          <cell r="F103">
            <v>330</v>
          </cell>
          <cell r="G103">
            <v>2021</v>
          </cell>
          <cell r="H103" t="str">
            <v>PAGANEL JI NC</v>
          </cell>
        </row>
        <row r="104">
          <cell r="B104">
            <v>3303328</v>
          </cell>
          <cell r="F104">
            <v>330</v>
          </cell>
          <cell r="G104">
            <v>3328</v>
          </cell>
          <cell r="H104" t="str">
            <v>OUR LADY OF LOURDES RC JI NC</v>
          </cell>
        </row>
        <row r="105">
          <cell r="B105">
            <v>3303351</v>
          </cell>
          <cell r="F105">
            <v>330</v>
          </cell>
          <cell r="G105">
            <v>3351</v>
          </cell>
          <cell r="H105" t="str">
            <v>OUR LADY AND ST ROSE RC JI NC</v>
          </cell>
        </row>
        <row r="106">
          <cell r="B106">
            <v>3307053</v>
          </cell>
          <cell r="F106">
            <v>330</v>
          </cell>
          <cell r="G106">
            <v>7053</v>
          </cell>
          <cell r="H106" t="str">
            <v>OSCOTT MANOR Spec</v>
          </cell>
        </row>
        <row r="107">
          <cell r="B107">
            <v>3301049</v>
          </cell>
          <cell r="F107">
            <v>330</v>
          </cell>
          <cell r="G107">
            <v>1049</v>
          </cell>
          <cell r="H107" t="str">
            <v>OSBORNE Nurs</v>
          </cell>
        </row>
        <row r="108">
          <cell r="B108">
            <v>3301028</v>
          </cell>
          <cell r="F108">
            <v>330</v>
          </cell>
          <cell r="G108">
            <v>1028</v>
          </cell>
          <cell r="H108" t="str">
            <v>NEWTOWN Nurs</v>
          </cell>
        </row>
        <row r="109">
          <cell r="B109">
            <v>3303431</v>
          </cell>
          <cell r="F109">
            <v>330</v>
          </cell>
          <cell r="G109">
            <v>3431</v>
          </cell>
          <cell r="H109" t="str">
            <v>NEW OSCOTT JI NC</v>
          </cell>
        </row>
        <row r="110">
          <cell r="B110">
            <v>3302469</v>
          </cell>
          <cell r="F110">
            <v>330</v>
          </cell>
          <cell r="G110">
            <v>2469</v>
          </cell>
          <cell r="H110" t="str">
            <v>NEW HALL JI NC</v>
          </cell>
        </row>
        <row r="111">
          <cell r="B111">
            <v>3302457</v>
          </cell>
          <cell r="F111">
            <v>330</v>
          </cell>
          <cell r="G111">
            <v>2457</v>
          </cell>
          <cell r="H111" t="str">
            <v>NELSON MANDELA JI NC</v>
          </cell>
        </row>
        <row r="112">
          <cell r="B112">
            <v>3302142</v>
          </cell>
          <cell r="F112">
            <v>330</v>
          </cell>
          <cell r="G112">
            <v>2142</v>
          </cell>
          <cell r="H112" t="str">
            <v>NELSON JI NC</v>
          </cell>
        </row>
        <row r="113">
          <cell r="B113">
            <v>3304245</v>
          </cell>
          <cell r="F113">
            <v>330</v>
          </cell>
          <cell r="G113">
            <v>4245</v>
          </cell>
          <cell r="H113" t="str">
            <v xml:space="preserve">MOSELEY Sec (16+) </v>
          </cell>
        </row>
        <row r="114">
          <cell r="B114">
            <v>3303003</v>
          </cell>
          <cell r="F114">
            <v>330</v>
          </cell>
          <cell r="G114">
            <v>3003</v>
          </cell>
          <cell r="H114" t="str">
            <v xml:space="preserve">MOSELEY CE JI </v>
          </cell>
        </row>
        <row r="115">
          <cell r="B115">
            <v>3302416</v>
          </cell>
          <cell r="F115">
            <v>330</v>
          </cell>
          <cell r="G115">
            <v>2416</v>
          </cell>
          <cell r="H115" t="str">
            <v xml:space="preserve">MOOR HALL JI </v>
          </cell>
        </row>
        <row r="116">
          <cell r="B116">
            <v>3302406</v>
          </cell>
          <cell r="F116">
            <v>330</v>
          </cell>
          <cell r="G116">
            <v>2406</v>
          </cell>
          <cell r="H116" t="str">
            <v xml:space="preserve">MINWORTH JI </v>
          </cell>
        </row>
        <row r="117">
          <cell r="B117">
            <v>3307040</v>
          </cell>
          <cell r="F117">
            <v>330</v>
          </cell>
          <cell r="G117">
            <v>7040</v>
          </cell>
          <cell r="H117" t="str">
            <v>MAYFIELD Spec</v>
          </cell>
        </row>
        <row r="118">
          <cell r="B118">
            <v>3303322</v>
          </cell>
          <cell r="F118">
            <v>330</v>
          </cell>
          <cell r="G118">
            <v>3322</v>
          </cell>
          <cell r="H118" t="str">
            <v>MARYVALE RC JI NC</v>
          </cell>
        </row>
        <row r="119">
          <cell r="B119">
            <v>3302133</v>
          </cell>
          <cell r="F119">
            <v>330</v>
          </cell>
          <cell r="G119">
            <v>2133</v>
          </cell>
          <cell r="H119" t="str">
            <v xml:space="preserve">MARSH HILL JI </v>
          </cell>
        </row>
        <row r="120">
          <cell r="B120">
            <v>3301012</v>
          </cell>
          <cell r="F120">
            <v>330</v>
          </cell>
          <cell r="G120">
            <v>1012</v>
          </cell>
          <cell r="H120" t="str">
            <v>MARSH HILL Nurs</v>
          </cell>
        </row>
        <row r="121">
          <cell r="B121">
            <v>3302004</v>
          </cell>
          <cell r="F121">
            <v>330</v>
          </cell>
          <cell r="G121">
            <v>2004</v>
          </cell>
          <cell r="H121" t="str">
            <v>MAPLEDENE JI NC</v>
          </cell>
        </row>
        <row r="122">
          <cell r="B122">
            <v>3302420</v>
          </cell>
          <cell r="F122">
            <v>330</v>
          </cell>
          <cell r="G122">
            <v>2420</v>
          </cell>
          <cell r="H122" t="str">
            <v xml:space="preserve">MANEY HILL JI </v>
          </cell>
        </row>
        <row r="123">
          <cell r="B123">
            <v>3302128</v>
          </cell>
          <cell r="F123">
            <v>330</v>
          </cell>
          <cell r="G123">
            <v>2128</v>
          </cell>
          <cell r="H123" t="str">
            <v xml:space="preserve">LYNDON GREEN J </v>
          </cell>
        </row>
        <row r="124">
          <cell r="B124">
            <v>3302129</v>
          </cell>
          <cell r="F124">
            <v>330</v>
          </cell>
          <cell r="G124">
            <v>2129</v>
          </cell>
          <cell r="H124" t="str">
            <v xml:space="preserve">LYNDON GREEN I </v>
          </cell>
        </row>
        <row r="125">
          <cell r="B125">
            <v>3302127</v>
          </cell>
          <cell r="F125">
            <v>330</v>
          </cell>
          <cell r="G125">
            <v>2127</v>
          </cell>
          <cell r="H125" t="str">
            <v>LOZELLS JI NC</v>
          </cell>
        </row>
        <row r="126">
          <cell r="B126">
            <v>3307012</v>
          </cell>
          <cell r="F126">
            <v>330</v>
          </cell>
          <cell r="G126">
            <v>7012</v>
          </cell>
          <cell r="H126" t="str">
            <v>LONGWILL Spec</v>
          </cell>
        </row>
        <row r="127">
          <cell r="B127">
            <v>3302462</v>
          </cell>
          <cell r="F127">
            <v>330</v>
          </cell>
          <cell r="G127">
            <v>2462</v>
          </cell>
          <cell r="H127" t="str">
            <v xml:space="preserve">LITTLE SUTTON JI </v>
          </cell>
        </row>
        <row r="128">
          <cell r="B128">
            <v>3307062</v>
          </cell>
          <cell r="F128">
            <v>330</v>
          </cell>
          <cell r="G128">
            <v>7062</v>
          </cell>
          <cell r="H128" t="str">
            <v>LINDSWORTH Spec</v>
          </cell>
        </row>
        <row r="129">
          <cell r="B129">
            <v>3301024</v>
          </cell>
          <cell r="F129">
            <v>330</v>
          </cell>
          <cell r="G129">
            <v>1024</v>
          </cell>
          <cell r="H129" t="str">
            <v>LILLIAN DE LISSA Nurs</v>
          </cell>
        </row>
        <row r="130">
          <cell r="B130">
            <v>3307060</v>
          </cell>
          <cell r="F130">
            <v>330</v>
          </cell>
          <cell r="G130">
            <v>7060</v>
          </cell>
          <cell r="H130" t="str">
            <v>LANGLEY Spec</v>
          </cell>
        </row>
        <row r="131">
          <cell r="B131">
            <v>3302119</v>
          </cell>
          <cell r="F131">
            <v>330</v>
          </cell>
          <cell r="G131">
            <v>2119</v>
          </cell>
          <cell r="H131" t="str">
            <v>LAKEY LANE JI NC</v>
          </cell>
        </row>
        <row r="132">
          <cell r="B132">
            <v>3302189</v>
          </cell>
          <cell r="F132">
            <v>330</v>
          </cell>
          <cell r="G132">
            <v>2189</v>
          </cell>
          <cell r="H132" t="str">
            <v>LADYPOOL JI NC</v>
          </cell>
        </row>
        <row r="133">
          <cell r="B133">
            <v>3302321</v>
          </cell>
          <cell r="F133">
            <v>330</v>
          </cell>
          <cell r="G133">
            <v>2321</v>
          </cell>
          <cell r="H133" t="str">
            <v>KITWELL JI NC</v>
          </cell>
        </row>
        <row r="134">
          <cell r="B134">
            <v>3302441</v>
          </cell>
          <cell r="F134">
            <v>330</v>
          </cell>
          <cell r="G134">
            <v>2441</v>
          </cell>
          <cell r="H134" t="str">
            <v>KINGSTHORNE JI NC</v>
          </cell>
        </row>
        <row r="135">
          <cell r="B135">
            <v>3302115</v>
          </cell>
          <cell r="F135">
            <v>330</v>
          </cell>
          <cell r="G135">
            <v>2115</v>
          </cell>
          <cell r="H135" t="str">
            <v>KINGSLAND JI NC</v>
          </cell>
        </row>
        <row r="136">
          <cell r="B136">
            <v>3301016</v>
          </cell>
          <cell r="F136">
            <v>330</v>
          </cell>
          <cell r="G136">
            <v>1016</v>
          </cell>
          <cell r="H136" t="str">
            <v>KINGS NORTON Nurs</v>
          </cell>
        </row>
        <row r="137">
          <cell r="B137">
            <v>3302118</v>
          </cell>
          <cell r="F137">
            <v>330</v>
          </cell>
          <cell r="G137">
            <v>2118</v>
          </cell>
          <cell r="H137" t="str">
            <v xml:space="preserve">KINGS NORTON JI </v>
          </cell>
        </row>
        <row r="138">
          <cell r="B138">
            <v>3305415</v>
          </cell>
          <cell r="F138">
            <v>330</v>
          </cell>
          <cell r="G138">
            <v>5415</v>
          </cell>
          <cell r="H138" t="str">
            <v xml:space="preserve">KINGS NORTON BOYS Sec (16+) </v>
          </cell>
        </row>
        <row r="139">
          <cell r="B139">
            <v>3302005</v>
          </cell>
          <cell r="F139">
            <v>330</v>
          </cell>
          <cell r="G139">
            <v>2005</v>
          </cell>
          <cell r="H139" t="str">
            <v>KINGS HEATH JI NC</v>
          </cell>
        </row>
        <row r="140">
          <cell r="B140">
            <v>3304063</v>
          </cell>
          <cell r="F140">
            <v>330</v>
          </cell>
          <cell r="G140">
            <v>4063</v>
          </cell>
          <cell r="H140" t="str">
            <v xml:space="preserve">KINGS HEATH Sec </v>
          </cell>
        </row>
        <row r="141">
          <cell r="B141">
            <v>3303352</v>
          </cell>
          <cell r="F141">
            <v>330</v>
          </cell>
          <cell r="G141">
            <v>3352</v>
          </cell>
          <cell r="H141" t="str">
            <v>KING DAVID JI NC</v>
          </cell>
        </row>
        <row r="142">
          <cell r="B142">
            <v>3302015</v>
          </cell>
          <cell r="F142">
            <v>330</v>
          </cell>
          <cell r="G142">
            <v>2015</v>
          </cell>
          <cell r="H142" t="str">
            <v>JAMES WATT JI NC</v>
          </cell>
        </row>
        <row r="143">
          <cell r="B143">
            <v>3301023</v>
          </cell>
          <cell r="F143">
            <v>330</v>
          </cell>
          <cell r="G143">
            <v>1023</v>
          </cell>
          <cell r="H143" t="str">
            <v>JAKEMAN Nurs</v>
          </cell>
        </row>
        <row r="144">
          <cell r="B144">
            <v>3307026</v>
          </cell>
          <cell r="F144">
            <v>330</v>
          </cell>
          <cell r="G144">
            <v>7026</v>
          </cell>
          <cell r="H144" t="str">
            <v>HUNTERS HILL Spec</v>
          </cell>
        </row>
        <row r="145">
          <cell r="B145">
            <v>3303317</v>
          </cell>
          <cell r="F145">
            <v>330</v>
          </cell>
          <cell r="G145">
            <v>3317</v>
          </cell>
          <cell r="H145" t="str">
            <v>HOLY FAMILY RC JI NC</v>
          </cell>
        </row>
        <row r="146">
          <cell r="B146">
            <v>3304223</v>
          </cell>
          <cell r="F146">
            <v>330</v>
          </cell>
          <cell r="G146">
            <v>4223</v>
          </cell>
          <cell r="H146" t="str">
            <v xml:space="preserve">HOLTE Sec (16+) </v>
          </cell>
        </row>
        <row r="147">
          <cell r="B147">
            <v>3301802</v>
          </cell>
          <cell r="F147">
            <v>330</v>
          </cell>
          <cell r="G147">
            <v>1802</v>
          </cell>
          <cell r="H147" t="str">
            <v xml:space="preserve">EDITH CADBURY Nrsy </v>
          </cell>
        </row>
        <row r="148">
          <cell r="B148">
            <v>3301100</v>
          </cell>
          <cell r="F148">
            <v>330</v>
          </cell>
          <cell r="G148">
            <v>1100</v>
          </cell>
          <cell r="H148" t="str">
            <v>CITY OF BIRMINGHAM SCHOOL</v>
          </cell>
        </row>
        <row r="149">
          <cell r="B149">
            <v>3302288</v>
          </cell>
          <cell r="F149">
            <v>330</v>
          </cell>
          <cell r="G149">
            <v>2288</v>
          </cell>
          <cell r="H149" t="str">
            <v xml:space="preserve">HOLLYWOOD JI </v>
          </cell>
        </row>
        <row r="150">
          <cell r="B150">
            <v>3302474</v>
          </cell>
          <cell r="F150">
            <v>330</v>
          </cell>
          <cell r="G150">
            <v>2474</v>
          </cell>
          <cell r="H150" t="str">
            <v xml:space="preserve">HOLLYFIELD JI </v>
          </cell>
        </row>
        <row r="151">
          <cell r="B151">
            <v>3303411</v>
          </cell>
          <cell r="F151">
            <v>330</v>
          </cell>
          <cell r="G151">
            <v>3411</v>
          </cell>
          <cell r="H151" t="str">
            <v>HOLLY HILL I NC</v>
          </cell>
        </row>
        <row r="152">
          <cell r="B152">
            <v>3302429</v>
          </cell>
          <cell r="F152">
            <v>330</v>
          </cell>
          <cell r="G152">
            <v>2429</v>
          </cell>
          <cell r="H152" t="str">
            <v>HOLLAND HOUSE I NC</v>
          </cell>
        </row>
        <row r="153">
          <cell r="B153">
            <v>3304201</v>
          </cell>
          <cell r="F153">
            <v>330</v>
          </cell>
          <cell r="G153">
            <v>4201</v>
          </cell>
          <cell r="H153" t="str">
            <v xml:space="preserve">HODGE HILL Sec </v>
          </cell>
        </row>
        <row r="154">
          <cell r="B154">
            <v>3304015</v>
          </cell>
          <cell r="F154">
            <v>330</v>
          </cell>
          <cell r="G154">
            <v>4015</v>
          </cell>
          <cell r="H154" t="str">
            <v xml:space="preserve">HODGE HILL GIRLS Sec </v>
          </cell>
        </row>
        <row r="155">
          <cell r="B155">
            <v>3302438</v>
          </cell>
          <cell r="F155">
            <v>330</v>
          </cell>
          <cell r="G155">
            <v>2438</v>
          </cell>
          <cell r="H155" t="str">
            <v xml:space="preserve">HIGHTERS HEATH JI </v>
          </cell>
        </row>
        <row r="156">
          <cell r="B156">
            <v>3301021</v>
          </cell>
          <cell r="F156">
            <v>330</v>
          </cell>
          <cell r="G156">
            <v>1021</v>
          </cell>
          <cell r="H156" t="str">
            <v>HIGHTERS HEATH Nurs</v>
          </cell>
        </row>
        <row r="157">
          <cell r="B157">
            <v>3301010</v>
          </cell>
          <cell r="F157">
            <v>330</v>
          </cell>
          <cell r="G157">
            <v>1010</v>
          </cell>
          <cell r="H157" t="str">
            <v>HIGHFIELD Nurs</v>
          </cell>
        </row>
        <row r="158">
          <cell r="B158">
            <v>3302313</v>
          </cell>
          <cell r="F158">
            <v>330</v>
          </cell>
          <cell r="G158">
            <v>2313</v>
          </cell>
          <cell r="H158" t="str">
            <v xml:space="preserve">HEATH MOUNT JI </v>
          </cell>
        </row>
        <row r="159">
          <cell r="B159">
            <v>3302099</v>
          </cell>
          <cell r="F159">
            <v>330</v>
          </cell>
          <cell r="G159">
            <v>2099</v>
          </cell>
          <cell r="H159" t="str">
            <v xml:space="preserve">HAWTHORN JI </v>
          </cell>
        </row>
        <row r="160">
          <cell r="B160">
            <v>3302477</v>
          </cell>
          <cell r="F160">
            <v>330</v>
          </cell>
          <cell r="G160">
            <v>2477</v>
          </cell>
          <cell r="H160" t="str">
            <v xml:space="preserve">HARBORNE JI </v>
          </cell>
        </row>
        <row r="161">
          <cell r="B161">
            <v>3307006</v>
          </cell>
          <cell r="F161">
            <v>330</v>
          </cell>
          <cell r="G161">
            <v>7006</v>
          </cell>
          <cell r="H161" t="str">
            <v>HAMILTON Spec</v>
          </cell>
        </row>
        <row r="162">
          <cell r="B162">
            <v>3302092</v>
          </cell>
          <cell r="F162">
            <v>330</v>
          </cell>
          <cell r="G162">
            <v>2092</v>
          </cell>
          <cell r="H162" t="str">
            <v xml:space="preserve">HALL GREEN J </v>
          </cell>
        </row>
        <row r="163">
          <cell r="B163">
            <v>3302093</v>
          </cell>
          <cell r="F163">
            <v>330</v>
          </cell>
          <cell r="G163">
            <v>2093</v>
          </cell>
          <cell r="H163" t="str">
            <v>HALL GREEN I NC</v>
          </cell>
        </row>
        <row r="164">
          <cell r="B164">
            <v>3302091</v>
          </cell>
          <cell r="F164">
            <v>330</v>
          </cell>
          <cell r="G164">
            <v>2091</v>
          </cell>
          <cell r="H164" t="str">
            <v>GUNTER JI NC</v>
          </cell>
        </row>
        <row r="165">
          <cell r="B165">
            <v>3302466</v>
          </cell>
          <cell r="F165">
            <v>330</v>
          </cell>
          <cell r="G165">
            <v>2466</v>
          </cell>
          <cell r="H165" t="str">
            <v>GROVE JI NC</v>
          </cell>
        </row>
        <row r="166">
          <cell r="B166">
            <v>3302087</v>
          </cell>
          <cell r="F166">
            <v>330</v>
          </cell>
          <cell r="G166">
            <v>2087</v>
          </cell>
          <cell r="H166" t="str">
            <v>GRENDON JI NC</v>
          </cell>
        </row>
        <row r="167">
          <cell r="B167">
            <v>3301022</v>
          </cell>
          <cell r="F167">
            <v>330</v>
          </cell>
          <cell r="G167">
            <v>1022</v>
          </cell>
          <cell r="H167" t="str">
            <v>GRACELANDS Nurs</v>
          </cell>
        </row>
        <row r="168">
          <cell r="B168">
            <v>3301015</v>
          </cell>
          <cell r="F168">
            <v>330</v>
          </cell>
          <cell r="G168">
            <v>1015</v>
          </cell>
          <cell r="H168" t="str">
            <v>GOODWAY Nurs</v>
          </cell>
        </row>
        <row r="169">
          <cell r="B169">
            <v>3302296</v>
          </cell>
          <cell r="F169">
            <v>330</v>
          </cell>
          <cell r="G169">
            <v>2296</v>
          </cell>
          <cell r="H169" t="str">
            <v xml:space="preserve">GLENMEAD JI </v>
          </cell>
        </row>
        <row r="170">
          <cell r="B170">
            <v>3302081</v>
          </cell>
          <cell r="F170">
            <v>330</v>
          </cell>
          <cell r="G170">
            <v>2081</v>
          </cell>
          <cell r="H170" t="str">
            <v>GILBERTSTONE JI NC</v>
          </cell>
        </row>
        <row r="171">
          <cell r="B171">
            <v>3302079</v>
          </cell>
          <cell r="F171">
            <v>330</v>
          </cell>
          <cell r="G171">
            <v>2079</v>
          </cell>
          <cell r="H171" t="str">
            <v xml:space="preserve">GEORGE DIXON JI </v>
          </cell>
        </row>
        <row r="172">
          <cell r="B172">
            <v>3301006</v>
          </cell>
          <cell r="F172">
            <v>330</v>
          </cell>
          <cell r="G172">
            <v>1006</v>
          </cell>
          <cell r="H172" t="str">
            <v>GARRETTS GREEN Nurs</v>
          </cell>
        </row>
        <row r="173">
          <cell r="B173">
            <v>3307050</v>
          </cell>
          <cell r="F173">
            <v>330</v>
          </cell>
          <cell r="G173">
            <v>7050</v>
          </cell>
          <cell r="H173" t="str">
            <v>FOX HOLLIES Spec</v>
          </cell>
        </row>
        <row r="174">
          <cell r="B174">
            <v>3303435</v>
          </cell>
          <cell r="F174">
            <v>330</v>
          </cell>
          <cell r="G174">
            <v>3435</v>
          </cell>
          <cell r="H174" t="str">
            <v xml:space="preserve">FOUR OAKS JI </v>
          </cell>
        </row>
        <row r="175">
          <cell r="B175">
            <v>3302486</v>
          </cell>
          <cell r="F175">
            <v>330</v>
          </cell>
          <cell r="G175">
            <v>2486</v>
          </cell>
          <cell r="H175" t="str">
            <v>FORESTDALE JI NC</v>
          </cell>
        </row>
        <row r="176">
          <cell r="B176">
            <v>3302294</v>
          </cell>
          <cell r="F176">
            <v>330</v>
          </cell>
          <cell r="G176">
            <v>2294</v>
          </cell>
          <cell r="H176" t="str">
            <v xml:space="preserve">FEATHERSTONE JI </v>
          </cell>
        </row>
        <row r="177">
          <cell r="B177">
            <v>3301026</v>
          </cell>
          <cell r="F177">
            <v>330</v>
          </cell>
          <cell r="G177">
            <v>1026</v>
          </cell>
          <cell r="H177" t="str">
            <v>FEATHERSTONE Nurs</v>
          </cell>
        </row>
        <row r="178">
          <cell r="B178">
            <v>3303321</v>
          </cell>
          <cell r="F178">
            <v>330</v>
          </cell>
          <cell r="G178">
            <v>3321</v>
          </cell>
          <cell r="H178" t="str">
            <v xml:space="preserve">ENGLISH MARTYRS RC JI </v>
          </cell>
        </row>
        <row r="179">
          <cell r="B179">
            <v>3302454</v>
          </cell>
          <cell r="F179">
            <v>330</v>
          </cell>
          <cell r="G179">
            <v>2454</v>
          </cell>
          <cell r="H179" t="str">
            <v>ELMS FARM JI NC</v>
          </cell>
        </row>
        <row r="180">
          <cell r="B180">
            <v>3302284</v>
          </cell>
          <cell r="F180">
            <v>330</v>
          </cell>
          <cell r="G180">
            <v>2284</v>
          </cell>
          <cell r="H180" t="str">
            <v xml:space="preserve">DEYKIN AVENUE JI </v>
          </cell>
        </row>
        <row r="181">
          <cell r="B181">
            <v>3302191</v>
          </cell>
          <cell r="F181">
            <v>330</v>
          </cell>
          <cell r="G181">
            <v>2191</v>
          </cell>
          <cell r="H181" t="str">
            <v xml:space="preserve">COURT FARM JI </v>
          </cell>
        </row>
        <row r="182">
          <cell r="B182">
            <v>3302055</v>
          </cell>
          <cell r="F182">
            <v>330</v>
          </cell>
          <cell r="G182">
            <v>2055</v>
          </cell>
          <cell r="H182" t="str">
            <v>COTTERIDGE JI NC</v>
          </cell>
        </row>
        <row r="183">
          <cell r="B183">
            <v>3303320</v>
          </cell>
          <cell r="F183">
            <v>330</v>
          </cell>
          <cell r="G183">
            <v>3320</v>
          </cell>
          <cell r="H183" t="str">
            <v xml:space="preserve">CORPUS CHRISTI RC JI </v>
          </cell>
        </row>
        <row r="184">
          <cell r="B184">
            <v>3302464</v>
          </cell>
          <cell r="F184">
            <v>330</v>
          </cell>
          <cell r="G184">
            <v>2464</v>
          </cell>
          <cell r="H184" t="str">
            <v xml:space="preserve">COPPICE JI </v>
          </cell>
        </row>
        <row r="185">
          <cell r="B185">
            <v>3302053</v>
          </cell>
          <cell r="F185">
            <v>330</v>
          </cell>
          <cell r="G185">
            <v>2053</v>
          </cell>
          <cell r="H185" t="str">
            <v xml:space="preserve">COLMORE J </v>
          </cell>
        </row>
        <row r="186">
          <cell r="B186">
            <v>3302054</v>
          </cell>
          <cell r="F186">
            <v>330</v>
          </cell>
          <cell r="G186">
            <v>2054</v>
          </cell>
          <cell r="H186" t="str">
            <v>COLMORE I NC</v>
          </cell>
        </row>
        <row r="187">
          <cell r="B187">
            <v>3305416</v>
          </cell>
          <cell r="F187">
            <v>330</v>
          </cell>
          <cell r="G187">
            <v>5416</v>
          </cell>
          <cell r="H187" t="str">
            <v xml:space="preserve">COLMERS Sec </v>
          </cell>
        </row>
        <row r="188">
          <cell r="B188">
            <v>3302185</v>
          </cell>
          <cell r="F188">
            <v>330</v>
          </cell>
          <cell r="G188">
            <v>2185</v>
          </cell>
          <cell r="H188" t="str">
            <v xml:space="preserve">COLEBOURNE JI </v>
          </cell>
        </row>
        <row r="189">
          <cell r="B189">
            <v>3302289</v>
          </cell>
          <cell r="F189">
            <v>330</v>
          </cell>
          <cell r="G189">
            <v>2289</v>
          </cell>
          <cell r="H189" t="str">
            <v xml:space="preserve">COFTON JI </v>
          </cell>
        </row>
        <row r="190">
          <cell r="B190">
            <v>3303432</v>
          </cell>
          <cell r="F190">
            <v>330</v>
          </cell>
          <cell r="G190">
            <v>3432</v>
          </cell>
          <cell r="H190" t="str">
            <v>CLIFTON JI NC</v>
          </cell>
        </row>
        <row r="191">
          <cell r="B191">
            <v>3303319</v>
          </cell>
          <cell r="F191">
            <v>330</v>
          </cell>
          <cell r="G191">
            <v>3319</v>
          </cell>
          <cell r="H191" t="str">
            <v>CHRIST THE KING RC JI NC</v>
          </cell>
        </row>
        <row r="192">
          <cell r="B192">
            <v>3303002</v>
          </cell>
          <cell r="F192">
            <v>330</v>
          </cell>
          <cell r="G192">
            <v>3002</v>
          </cell>
          <cell r="H192" t="str">
            <v>CHRISTCHURCH CE JI NC</v>
          </cell>
        </row>
        <row r="193">
          <cell r="B193">
            <v>3302251</v>
          </cell>
          <cell r="F193">
            <v>330</v>
          </cell>
          <cell r="G193">
            <v>2251</v>
          </cell>
          <cell r="H193" t="str">
            <v>CHILCOTE JI NC</v>
          </cell>
        </row>
        <row r="194">
          <cell r="B194">
            <v>3302040</v>
          </cell>
          <cell r="F194">
            <v>330</v>
          </cell>
          <cell r="G194">
            <v>2040</v>
          </cell>
          <cell r="H194" t="str">
            <v>CHERRY ORCHARD JI NC</v>
          </cell>
        </row>
        <row r="195">
          <cell r="B195">
            <v>3307051</v>
          </cell>
          <cell r="F195">
            <v>330</v>
          </cell>
          <cell r="G195">
            <v>7051</v>
          </cell>
          <cell r="H195" t="str">
            <v>CHERRY OAK Spec</v>
          </cell>
        </row>
        <row r="196">
          <cell r="B196">
            <v>3302312</v>
          </cell>
          <cell r="F196">
            <v>330</v>
          </cell>
          <cell r="G196">
            <v>2312</v>
          </cell>
          <cell r="H196" t="str">
            <v xml:space="preserve">CHAD VALE JI </v>
          </cell>
        </row>
        <row r="197">
          <cell r="B197">
            <v>3301048</v>
          </cell>
          <cell r="F197">
            <v>330</v>
          </cell>
          <cell r="G197">
            <v>1048</v>
          </cell>
          <cell r="H197" t="str">
            <v>CASTLE VALE Nurs</v>
          </cell>
        </row>
        <row r="198">
          <cell r="B198">
            <v>3304801</v>
          </cell>
          <cell r="F198">
            <v>330</v>
          </cell>
          <cell r="G198">
            <v>4801</v>
          </cell>
          <cell r="H198" t="str">
            <v xml:space="preserve">CARDINAL WISEMAN RC Sec </v>
          </cell>
        </row>
        <row r="199">
          <cell r="B199">
            <v>3302465</v>
          </cell>
          <cell r="F199">
            <v>330</v>
          </cell>
          <cell r="G199">
            <v>2465</v>
          </cell>
          <cell r="H199" t="str">
            <v>CALSHOT JI NC</v>
          </cell>
        </row>
        <row r="200">
          <cell r="B200">
            <v>3302236</v>
          </cell>
          <cell r="F200">
            <v>330</v>
          </cell>
          <cell r="G200">
            <v>2236</v>
          </cell>
          <cell r="H200" t="str">
            <v xml:space="preserve">BROADMEADOW J </v>
          </cell>
        </row>
        <row r="201">
          <cell r="B201">
            <v>3302238</v>
          </cell>
          <cell r="F201">
            <v>330</v>
          </cell>
          <cell r="G201">
            <v>2238</v>
          </cell>
          <cell r="H201" t="str">
            <v>BROADMEADOW I NC</v>
          </cell>
        </row>
        <row r="202">
          <cell r="B202">
            <v>3301002</v>
          </cell>
          <cell r="F202">
            <v>330</v>
          </cell>
          <cell r="G202">
            <v>1002</v>
          </cell>
          <cell r="H202" t="str">
            <v>BREARLEY ST Nurs</v>
          </cell>
        </row>
        <row r="203">
          <cell r="B203">
            <v>3307030</v>
          </cell>
          <cell r="F203">
            <v>330</v>
          </cell>
          <cell r="G203">
            <v>7030</v>
          </cell>
          <cell r="H203" t="str">
            <v>BRAIDWOOD Spec</v>
          </cell>
        </row>
        <row r="204">
          <cell r="B204">
            <v>3303353</v>
          </cell>
          <cell r="F204">
            <v>330</v>
          </cell>
          <cell r="G204">
            <v>3353</v>
          </cell>
          <cell r="H204" t="str">
            <v>Bournville Village Primary (formerly Bournville Junior)</v>
          </cell>
        </row>
        <row r="205">
          <cell r="B205">
            <v>3302030</v>
          </cell>
          <cell r="F205">
            <v>330</v>
          </cell>
          <cell r="G205">
            <v>2030</v>
          </cell>
          <cell r="H205" t="str">
            <v>BORDESLEY GREEN JI NC</v>
          </cell>
        </row>
        <row r="206">
          <cell r="B206">
            <v>3304115</v>
          </cell>
          <cell r="F206">
            <v>330</v>
          </cell>
          <cell r="G206">
            <v>4115</v>
          </cell>
          <cell r="H206" t="str">
            <v xml:space="preserve">BORDESLEY GREEN GIRLS Sec (16+) </v>
          </cell>
        </row>
        <row r="207">
          <cell r="B207">
            <v>3301001</v>
          </cell>
          <cell r="F207">
            <v>330</v>
          </cell>
          <cell r="G207">
            <v>1001</v>
          </cell>
          <cell r="H207" t="str">
            <v>BORDESLEY GREEN Nurs</v>
          </cell>
        </row>
        <row r="208">
          <cell r="B208">
            <v>3302401</v>
          </cell>
          <cell r="F208">
            <v>330</v>
          </cell>
          <cell r="G208">
            <v>2401</v>
          </cell>
          <cell r="H208" t="str">
            <v xml:space="preserve">BOLDMERE J </v>
          </cell>
        </row>
        <row r="209">
          <cell r="B209">
            <v>3302402</v>
          </cell>
          <cell r="F209">
            <v>330</v>
          </cell>
          <cell r="G209">
            <v>2402</v>
          </cell>
          <cell r="H209" t="str">
            <v>BOLDMERE I NC</v>
          </cell>
        </row>
        <row r="210">
          <cell r="B210">
            <v>3301025</v>
          </cell>
          <cell r="F210">
            <v>330</v>
          </cell>
          <cell r="G210">
            <v>1025</v>
          </cell>
          <cell r="H210" t="str">
            <v>BLOOMSBURY Nurs</v>
          </cell>
        </row>
        <row r="211">
          <cell r="B211">
            <v>3302254</v>
          </cell>
          <cell r="F211">
            <v>330</v>
          </cell>
          <cell r="G211">
            <v>2254</v>
          </cell>
          <cell r="H211" t="str">
            <v xml:space="preserve">BLAKESLEY HALL JI </v>
          </cell>
        </row>
        <row r="212">
          <cell r="B212">
            <v>3305413</v>
          </cell>
          <cell r="F212">
            <v>330</v>
          </cell>
          <cell r="G212">
            <v>5413</v>
          </cell>
          <cell r="H212" t="str">
            <v xml:space="preserve">BISHOP CHALLONER Sec (16+) </v>
          </cell>
        </row>
        <row r="213">
          <cell r="B213">
            <v>3302024</v>
          </cell>
          <cell r="F213">
            <v>330</v>
          </cell>
          <cell r="G213">
            <v>2024</v>
          </cell>
          <cell r="H213" t="str">
            <v xml:space="preserve">BIRCHES GREEN J </v>
          </cell>
        </row>
        <row r="214">
          <cell r="B214">
            <v>3302025</v>
          </cell>
          <cell r="F214">
            <v>330</v>
          </cell>
          <cell r="G214">
            <v>2025</v>
          </cell>
          <cell r="H214" t="str">
            <v>BIRCHES GREEN I NC</v>
          </cell>
        </row>
        <row r="215">
          <cell r="B215">
            <v>3302435</v>
          </cell>
          <cell r="F215">
            <v>330</v>
          </cell>
          <cell r="G215">
            <v>2435</v>
          </cell>
          <cell r="H215" t="str">
            <v>BENSON JI NC</v>
          </cell>
        </row>
        <row r="216">
          <cell r="B216">
            <v>3302456</v>
          </cell>
          <cell r="F216">
            <v>330</v>
          </cell>
          <cell r="G216">
            <v>2456</v>
          </cell>
          <cell r="H216" t="str">
            <v xml:space="preserve">BELLS FARM JI </v>
          </cell>
        </row>
        <row r="217">
          <cell r="B217">
            <v>3302241</v>
          </cell>
          <cell r="F217">
            <v>330</v>
          </cell>
          <cell r="G217">
            <v>2241</v>
          </cell>
          <cell r="H217" t="str">
            <v xml:space="preserve">BELLFIELD J </v>
          </cell>
        </row>
        <row r="218">
          <cell r="B218">
            <v>3302239</v>
          </cell>
          <cell r="F218">
            <v>330</v>
          </cell>
          <cell r="G218">
            <v>2239</v>
          </cell>
          <cell r="H218" t="str">
            <v>BELLFIELD I NC</v>
          </cell>
        </row>
        <row r="219">
          <cell r="B219">
            <v>3307052</v>
          </cell>
          <cell r="F219">
            <v>330</v>
          </cell>
          <cell r="G219">
            <v>7052</v>
          </cell>
          <cell r="H219" t="str">
            <v>BEAUFORT Spec</v>
          </cell>
        </row>
        <row r="220">
          <cell r="B220">
            <v>3307016</v>
          </cell>
          <cell r="F220">
            <v>330</v>
          </cell>
          <cell r="G220">
            <v>7016</v>
          </cell>
          <cell r="H220" t="str">
            <v>BASKERVILLE Spec</v>
          </cell>
        </row>
        <row r="221">
          <cell r="B221">
            <v>3302014</v>
          </cell>
          <cell r="F221">
            <v>330</v>
          </cell>
          <cell r="G221">
            <v>2014</v>
          </cell>
          <cell r="H221" t="str">
            <v>BARFORD JI NC</v>
          </cell>
        </row>
        <row r="222">
          <cell r="B222">
            <v>3302300</v>
          </cell>
          <cell r="F222">
            <v>330</v>
          </cell>
          <cell r="G222">
            <v>2300</v>
          </cell>
          <cell r="H222" t="str">
            <v>ARDEN JI NC</v>
          </cell>
        </row>
        <row r="223">
          <cell r="B223">
            <v>3302479</v>
          </cell>
          <cell r="F223">
            <v>330</v>
          </cell>
          <cell r="G223">
            <v>2479</v>
          </cell>
          <cell r="H223" t="str">
            <v>ANGLESEY JI NC</v>
          </cell>
        </row>
        <row r="224">
          <cell r="B224">
            <v>3302062</v>
          </cell>
          <cell r="F224">
            <v>330</v>
          </cell>
          <cell r="G224">
            <v>2062</v>
          </cell>
          <cell r="H224" t="str">
            <v>ANDERTON PARK JI NC</v>
          </cell>
        </row>
        <row r="225">
          <cell r="B225">
            <v>3302153</v>
          </cell>
          <cell r="F225">
            <v>330</v>
          </cell>
          <cell r="G225">
            <v>2153</v>
          </cell>
          <cell r="H225" t="str">
            <v xml:space="preserve">ALLENS CROFT JI </v>
          </cell>
        </row>
        <row r="226">
          <cell r="B226">
            <v>3301017</v>
          </cell>
          <cell r="F226">
            <v>330</v>
          </cell>
          <cell r="G226">
            <v>1017</v>
          </cell>
          <cell r="H226" t="str">
            <v>ALLENS CROFT Nurs</v>
          </cell>
        </row>
        <row r="227">
          <cell r="B227">
            <v>3305949</v>
          </cell>
          <cell r="F227">
            <v>330</v>
          </cell>
          <cell r="G227">
            <v>5949</v>
          </cell>
          <cell r="H227" t="str">
            <v xml:space="preserve">AL-FURQAN JI </v>
          </cell>
        </row>
        <row r="228">
          <cell r="B228">
            <v>3302010</v>
          </cell>
          <cell r="F228">
            <v>330</v>
          </cell>
          <cell r="G228">
            <v>2010</v>
          </cell>
          <cell r="H228" t="str">
            <v xml:space="preserve">ADDERLEY JI </v>
          </cell>
        </row>
        <row r="229">
          <cell r="B229">
            <v>3301027</v>
          </cell>
          <cell r="F229">
            <v>330</v>
          </cell>
          <cell r="G229">
            <v>1027</v>
          </cell>
          <cell r="H229" t="str">
            <v>ADDERLEY Nurs</v>
          </cell>
        </row>
        <row r="230">
          <cell r="B230">
            <v>3303436</v>
          </cell>
          <cell r="F230">
            <v>330</v>
          </cell>
          <cell r="G230">
            <v>3436</v>
          </cell>
          <cell r="H230" t="str">
            <v>HARPER BELL PRIMARY JI NC</v>
          </cell>
        </row>
        <row r="231">
          <cell r="B231">
            <v>3301000</v>
          </cell>
          <cell r="F231">
            <v>330</v>
          </cell>
          <cell r="G231">
            <v>1000</v>
          </cell>
          <cell r="H231" t="str">
            <v>SELLY OAK Nurs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iz.blackburn@birmingham.gov.uk" TargetMode="External"/><Relationship Id="rId2" Type="http://schemas.openxmlformats.org/officeDocument/2006/relationships/hyperlink" Target="mailto:Lana.Forrester@birmingham.gov.uk" TargetMode="External"/><Relationship Id="rId1" Type="http://schemas.openxmlformats.org/officeDocument/2006/relationships/hyperlink" Target="mailto:fairfunding@birmingham.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file:///C:\Users\EDUCJEBE\CYPF%20Finance%20Shared\Year%20End%20reconciliations\2017-18%20EOY%20Chequebook%20Ledger%20Check.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35F85-18F7-4BBD-B83B-B726C2ADB115}">
  <dimension ref="A6:Q39"/>
  <sheetViews>
    <sheetView showGridLines="0" tabSelected="1" workbookViewId="0">
      <selection activeCell="G16" sqref="G16"/>
    </sheetView>
  </sheetViews>
  <sheetFormatPr defaultRowHeight="13.2" x14ac:dyDescent="0.25"/>
  <cols>
    <col min="2" max="2" width="12.5546875" bestFit="1" customWidth="1"/>
    <col min="4" max="4" width="10.77734375" customWidth="1"/>
    <col min="7" max="7" width="17.77734375" customWidth="1"/>
    <col min="8" max="8" width="9.21875" customWidth="1"/>
  </cols>
  <sheetData>
    <row r="6" spans="1:17" x14ac:dyDescent="0.25">
      <c r="A6" s="42"/>
    </row>
    <row r="11" spans="1:17" ht="27.6" x14ac:dyDescent="0.45">
      <c r="B11" s="44" t="s">
        <v>1194</v>
      </c>
      <c r="Q11" s="391" t="s">
        <v>1184</v>
      </c>
    </row>
    <row r="12" spans="1:17" ht="19.95" customHeight="1" x14ac:dyDescent="0.25">
      <c r="B12" t="s">
        <v>1504</v>
      </c>
      <c r="Q12" s="392" t="s">
        <v>1191</v>
      </c>
    </row>
    <row r="13" spans="1:17" ht="20.25" customHeight="1" x14ac:dyDescent="0.25">
      <c r="Q13" s="394" t="s">
        <v>1185</v>
      </c>
    </row>
    <row r="14" spans="1:17" x14ac:dyDescent="0.25">
      <c r="Q14" s="392"/>
    </row>
    <row r="15" spans="1:17" ht="13.8" thickBot="1" x14ac:dyDescent="0.3">
      <c r="Q15" s="393" t="s">
        <v>1186</v>
      </c>
    </row>
    <row r="16" spans="1:17" ht="27" customHeight="1" thickBot="1" x14ac:dyDescent="0.3">
      <c r="B16" s="45" t="s">
        <v>866</v>
      </c>
      <c r="G16" s="307"/>
      <c r="Q16" s="394" t="s">
        <v>1193</v>
      </c>
    </row>
    <row r="18" spans="2:17" ht="17.399999999999999" x14ac:dyDescent="0.3">
      <c r="B18" s="396">
        <f>IFERROR(VLOOKUP(G16,'Carry Forward 2022'!B9:D249,3,0),0)</f>
        <v>0</v>
      </c>
      <c r="Q18" s="393" t="s">
        <v>1190</v>
      </c>
    </row>
    <row r="19" spans="2:17" ht="17.399999999999999" x14ac:dyDescent="0.3">
      <c r="B19" s="55"/>
      <c r="Q19" s="395" t="s">
        <v>1187</v>
      </c>
    </row>
    <row r="20" spans="2:17" ht="17.399999999999999" x14ac:dyDescent="0.3">
      <c r="B20" s="396">
        <f>IFERROR(VLOOKUP(G16,'Carry Forward 2022'!B10:AU247,46,0),)</f>
        <v>0</v>
      </c>
    </row>
    <row r="23" spans="2:17" ht="15.6" x14ac:dyDescent="0.3">
      <c r="B23" s="143" t="s">
        <v>1189</v>
      </c>
    </row>
    <row r="25" spans="2:17" ht="15.6" x14ac:dyDescent="0.3">
      <c r="B25" s="304" t="s">
        <v>868</v>
      </c>
      <c r="H25" s="306" t="s">
        <v>867</v>
      </c>
    </row>
    <row r="26" spans="2:17" ht="15" x14ac:dyDescent="0.25">
      <c r="B26" s="305"/>
    </row>
    <row r="27" spans="2:17" ht="15.6" x14ac:dyDescent="0.3">
      <c r="B27" s="304" t="s">
        <v>869</v>
      </c>
      <c r="H27" s="306" t="s">
        <v>873</v>
      </c>
    </row>
    <row r="30" spans="2:17" ht="15.6" x14ac:dyDescent="0.3">
      <c r="B30" s="143" t="s">
        <v>1192</v>
      </c>
    </row>
    <row r="31" spans="2:17" ht="15.6" x14ac:dyDescent="0.3">
      <c r="B31" s="143" t="s">
        <v>1188</v>
      </c>
    </row>
    <row r="33" spans="2:8" ht="15.6" x14ac:dyDescent="0.3">
      <c r="B33" s="304" t="s">
        <v>1160</v>
      </c>
      <c r="H33" s="306" t="s">
        <v>1162</v>
      </c>
    </row>
    <row r="34" spans="2:8" ht="15.6" x14ac:dyDescent="0.3">
      <c r="B34" s="304"/>
    </row>
    <row r="35" spans="2:8" ht="15.6" x14ac:dyDescent="0.3">
      <c r="B35" s="304" t="s">
        <v>1161</v>
      </c>
      <c r="H35" s="306" t="s">
        <v>1163</v>
      </c>
    </row>
    <row r="39" spans="2:8" ht="15.6" x14ac:dyDescent="0.3">
      <c r="B39" s="143"/>
    </row>
  </sheetData>
  <sheetProtection algorithmName="SHA-512" hashValue="TLXvfLPetG/7i3W5hHxZyQPU6ZWQMMAIuQZ8m90f6Yg+LFPO1xl/B9c8fxGW+brYu6ov8pb69aE5EmjwsQd7Sg==" saltValue="G64P3KEbTinDWyKGVxIU7g==" spinCount="100000" sheet="1" objects="1" scenarios="1"/>
  <hyperlinks>
    <hyperlink ref="H25" location="'Schl Budget Share Notification'!A1" display="'Schl Budget Share Notification'!A1" xr:uid="{94D7798F-9EBC-4D0A-98CE-D1DC4596253E}"/>
    <hyperlink ref="H27" location="'DC Carry Forward Notification'!A1" display="'DC Carry Forward Notification'!A1" xr:uid="{562FE924-72B6-4249-9B2F-BE48AB799B4F}"/>
    <hyperlink ref="H33" location="'Surplus Balance Analysis '!A1" display="'Surplus Balance Analysis '!A1" xr:uid="{B47F4056-C5B1-4363-9C6C-55DEA92833CF}"/>
    <hyperlink ref="H35" location="'Surplus Balance Guidance Notes'!A1" display="'Surplus Balance Guidance Notes'!A1" xr:uid="{062C246C-539E-4D17-91D4-A96B9801F6DC}"/>
    <hyperlink ref="Q13" r:id="rId1" xr:uid="{54ABC0B9-8E02-4FCD-8B4B-EE1117406738}"/>
    <hyperlink ref="Q19" r:id="rId2" xr:uid="{336DB266-F2B9-425A-AA34-AB9819B07C48}"/>
    <hyperlink ref="Q16" r:id="rId3" xr:uid="{110AB7DD-E9DD-420C-B4CA-99A3E8BA67F0}"/>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1C93B43-5428-4EDD-9E58-4B13D9344DC8}">
          <x14:formula1>
            <xm:f>'Carry Forward 2022'!$B$10:$B$247</xm:f>
          </x14:formula1>
          <xm:sqref>G16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9353-75DD-409C-9F88-07873D72BDD2}">
  <dimension ref="A1:S203"/>
  <sheetViews>
    <sheetView showGridLines="0" zoomScale="84" zoomScaleNormal="84" workbookViewId="0"/>
  </sheetViews>
  <sheetFormatPr defaultRowHeight="13.2" x14ac:dyDescent="0.25"/>
  <cols>
    <col min="1" max="1" width="3.77734375" style="228" customWidth="1"/>
    <col min="2" max="7" width="9.21875" style="144"/>
    <col min="8" max="8" width="48.44140625" style="144" customWidth="1"/>
    <col min="9" max="9" width="9.21875" style="144"/>
    <col min="10" max="10" width="6.5546875" style="144" customWidth="1"/>
    <col min="11" max="11" width="12" style="144" customWidth="1"/>
    <col min="12" max="12" width="7" style="144" customWidth="1"/>
    <col min="13" max="13" width="14.21875" style="144" customWidth="1"/>
    <col min="14" max="14" width="9.21875" style="144"/>
    <col min="15" max="15" width="12.5546875" style="144" customWidth="1"/>
    <col min="16" max="16" width="10.44140625" style="144" customWidth="1"/>
    <col min="17" max="266" width="9.21875" style="144"/>
    <col min="267" max="267" width="12" style="144" customWidth="1"/>
    <col min="268" max="268" width="9.21875" style="144"/>
    <col min="269" max="269" width="14.21875" style="144" customWidth="1"/>
    <col min="270" max="270" width="9.21875" style="144"/>
    <col min="271" max="271" width="12.5546875" style="144" customWidth="1"/>
    <col min="272" max="272" width="3.21875" style="144" customWidth="1"/>
    <col min="273" max="522" width="9.21875" style="144"/>
    <col min="523" max="523" width="12" style="144" customWidth="1"/>
    <col min="524" max="524" width="9.21875" style="144"/>
    <col min="525" max="525" width="14.21875" style="144" customWidth="1"/>
    <col min="526" max="526" width="9.21875" style="144"/>
    <col min="527" max="527" width="12.5546875" style="144" customWidth="1"/>
    <col min="528" max="528" width="3.21875" style="144" customWidth="1"/>
    <col min="529" max="778" width="9.21875" style="144"/>
    <col min="779" max="779" width="12" style="144" customWidth="1"/>
    <col min="780" max="780" width="9.21875" style="144"/>
    <col min="781" max="781" width="14.21875" style="144" customWidth="1"/>
    <col min="782" max="782" width="9.21875" style="144"/>
    <col min="783" max="783" width="12.5546875" style="144" customWidth="1"/>
    <col min="784" max="784" width="3.21875" style="144" customWidth="1"/>
    <col min="785" max="1034" width="9.21875" style="144"/>
    <col min="1035" max="1035" width="12" style="144" customWidth="1"/>
    <col min="1036" max="1036" width="9.21875" style="144"/>
    <col min="1037" max="1037" width="14.21875" style="144" customWidth="1"/>
    <col min="1038" max="1038" width="9.21875" style="144"/>
    <col min="1039" max="1039" width="12.5546875" style="144" customWidth="1"/>
    <col min="1040" max="1040" width="3.21875" style="144" customWidth="1"/>
    <col min="1041" max="1290" width="9.21875" style="144"/>
    <col min="1291" max="1291" width="12" style="144" customWidth="1"/>
    <col min="1292" max="1292" width="9.21875" style="144"/>
    <col min="1293" max="1293" width="14.21875" style="144" customWidth="1"/>
    <col min="1294" max="1294" width="9.21875" style="144"/>
    <col min="1295" max="1295" width="12.5546875" style="144" customWidth="1"/>
    <col min="1296" max="1296" width="3.21875" style="144" customWidth="1"/>
    <col min="1297" max="1546" width="9.21875" style="144"/>
    <col min="1547" max="1547" width="12" style="144" customWidth="1"/>
    <col min="1548" max="1548" width="9.21875" style="144"/>
    <col min="1549" max="1549" width="14.21875" style="144" customWidth="1"/>
    <col min="1550" max="1550" width="9.21875" style="144"/>
    <col min="1551" max="1551" width="12.5546875" style="144" customWidth="1"/>
    <col min="1552" max="1552" width="3.21875" style="144" customWidth="1"/>
    <col min="1553" max="1802" width="9.21875" style="144"/>
    <col min="1803" max="1803" width="12" style="144" customWidth="1"/>
    <col min="1804" max="1804" width="9.21875" style="144"/>
    <col min="1805" max="1805" width="14.21875" style="144" customWidth="1"/>
    <col min="1806" max="1806" width="9.21875" style="144"/>
    <col min="1807" max="1807" width="12.5546875" style="144" customWidth="1"/>
    <col min="1808" max="1808" width="3.21875" style="144" customWidth="1"/>
    <col min="1809" max="2058" width="9.21875" style="144"/>
    <col min="2059" max="2059" width="12" style="144" customWidth="1"/>
    <col min="2060" max="2060" width="9.21875" style="144"/>
    <col min="2061" max="2061" width="14.21875" style="144" customWidth="1"/>
    <col min="2062" max="2062" width="9.21875" style="144"/>
    <col min="2063" max="2063" width="12.5546875" style="144" customWidth="1"/>
    <col min="2064" max="2064" width="3.21875" style="144" customWidth="1"/>
    <col min="2065" max="2314" width="9.21875" style="144"/>
    <col min="2315" max="2315" width="12" style="144" customWidth="1"/>
    <col min="2316" max="2316" width="9.21875" style="144"/>
    <col min="2317" max="2317" width="14.21875" style="144" customWidth="1"/>
    <col min="2318" max="2318" width="9.21875" style="144"/>
    <col min="2319" max="2319" width="12.5546875" style="144" customWidth="1"/>
    <col min="2320" max="2320" width="3.21875" style="144" customWidth="1"/>
    <col min="2321" max="2570" width="9.21875" style="144"/>
    <col min="2571" max="2571" width="12" style="144" customWidth="1"/>
    <col min="2572" max="2572" width="9.21875" style="144"/>
    <col min="2573" max="2573" width="14.21875" style="144" customWidth="1"/>
    <col min="2574" max="2574" width="9.21875" style="144"/>
    <col min="2575" max="2575" width="12.5546875" style="144" customWidth="1"/>
    <col min="2576" max="2576" width="3.21875" style="144" customWidth="1"/>
    <col min="2577" max="2826" width="9.21875" style="144"/>
    <col min="2827" max="2827" width="12" style="144" customWidth="1"/>
    <col min="2828" max="2828" width="9.21875" style="144"/>
    <col min="2829" max="2829" width="14.21875" style="144" customWidth="1"/>
    <col min="2830" max="2830" width="9.21875" style="144"/>
    <col min="2831" max="2831" width="12.5546875" style="144" customWidth="1"/>
    <col min="2832" max="2832" width="3.21875" style="144" customWidth="1"/>
    <col min="2833" max="3082" width="9.21875" style="144"/>
    <col min="3083" max="3083" width="12" style="144" customWidth="1"/>
    <col min="3084" max="3084" width="9.21875" style="144"/>
    <col min="3085" max="3085" width="14.21875" style="144" customWidth="1"/>
    <col min="3086" max="3086" width="9.21875" style="144"/>
    <col min="3087" max="3087" width="12.5546875" style="144" customWidth="1"/>
    <col min="3088" max="3088" width="3.21875" style="144" customWidth="1"/>
    <col min="3089" max="3338" width="9.21875" style="144"/>
    <col min="3339" max="3339" width="12" style="144" customWidth="1"/>
    <col min="3340" max="3340" width="9.21875" style="144"/>
    <col min="3341" max="3341" width="14.21875" style="144" customWidth="1"/>
    <col min="3342" max="3342" width="9.21875" style="144"/>
    <col min="3343" max="3343" width="12.5546875" style="144" customWidth="1"/>
    <col min="3344" max="3344" width="3.21875" style="144" customWidth="1"/>
    <col min="3345" max="3594" width="9.21875" style="144"/>
    <col min="3595" max="3595" width="12" style="144" customWidth="1"/>
    <col min="3596" max="3596" width="9.21875" style="144"/>
    <col min="3597" max="3597" width="14.21875" style="144" customWidth="1"/>
    <col min="3598" max="3598" width="9.21875" style="144"/>
    <col min="3599" max="3599" width="12.5546875" style="144" customWidth="1"/>
    <col min="3600" max="3600" width="3.21875" style="144" customWidth="1"/>
    <col min="3601" max="3850" width="9.21875" style="144"/>
    <col min="3851" max="3851" width="12" style="144" customWidth="1"/>
    <col min="3852" max="3852" width="9.21875" style="144"/>
    <col min="3853" max="3853" width="14.21875" style="144" customWidth="1"/>
    <col min="3854" max="3854" width="9.21875" style="144"/>
    <col min="3855" max="3855" width="12.5546875" style="144" customWidth="1"/>
    <col min="3856" max="3856" width="3.21875" style="144" customWidth="1"/>
    <col min="3857" max="4106" width="9.21875" style="144"/>
    <col min="4107" max="4107" width="12" style="144" customWidth="1"/>
    <col min="4108" max="4108" width="9.21875" style="144"/>
    <col min="4109" max="4109" width="14.21875" style="144" customWidth="1"/>
    <col min="4110" max="4110" width="9.21875" style="144"/>
    <col min="4111" max="4111" width="12.5546875" style="144" customWidth="1"/>
    <col min="4112" max="4112" width="3.21875" style="144" customWidth="1"/>
    <col min="4113" max="4362" width="9.21875" style="144"/>
    <col min="4363" max="4363" width="12" style="144" customWidth="1"/>
    <col min="4364" max="4364" width="9.21875" style="144"/>
    <col min="4365" max="4365" width="14.21875" style="144" customWidth="1"/>
    <col min="4366" max="4366" width="9.21875" style="144"/>
    <col min="4367" max="4367" width="12.5546875" style="144" customWidth="1"/>
    <col min="4368" max="4368" width="3.21875" style="144" customWidth="1"/>
    <col min="4369" max="4618" width="9.21875" style="144"/>
    <col min="4619" max="4619" width="12" style="144" customWidth="1"/>
    <col min="4620" max="4620" width="9.21875" style="144"/>
    <col min="4621" max="4621" width="14.21875" style="144" customWidth="1"/>
    <col min="4622" max="4622" width="9.21875" style="144"/>
    <col min="4623" max="4623" width="12.5546875" style="144" customWidth="1"/>
    <col min="4624" max="4624" width="3.21875" style="144" customWidth="1"/>
    <col min="4625" max="4874" width="9.21875" style="144"/>
    <col min="4875" max="4875" width="12" style="144" customWidth="1"/>
    <col min="4876" max="4876" width="9.21875" style="144"/>
    <col min="4877" max="4877" width="14.21875" style="144" customWidth="1"/>
    <col min="4878" max="4878" width="9.21875" style="144"/>
    <col min="4879" max="4879" width="12.5546875" style="144" customWidth="1"/>
    <col min="4880" max="4880" width="3.21875" style="144" customWidth="1"/>
    <col min="4881" max="5130" width="9.21875" style="144"/>
    <col min="5131" max="5131" width="12" style="144" customWidth="1"/>
    <col min="5132" max="5132" width="9.21875" style="144"/>
    <col min="5133" max="5133" width="14.21875" style="144" customWidth="1"/>
    <col min="5134" max="5134" width="9.21875" style="144"/>
    <col min="5135" max="5135" width="12.5546875" style="144" customWidth="1"/>
    <col min="5136" max="5136" width="3.21875" style="144" customWidth="1"/>
    <col min="5137" max="5386" width="9.21875" style="144"/>
    <col min="5387" max="5387" width="12" style="144" customWidth="1"/>
    <col min="5388" max="5388" width="9.21875" style="144"/>
    <col min="5389" max="5389" width="14.21875" style="144" customWidth="1"/>
    <col min="5390" max="5390" width="9.21875" style="144"/>
    <col min="5391" max="5391" width="12.5546875" style="144" customWidth="1"/>
    <col min="5392" max="5392" width="3.21875" style="144" customWidth="1"/>
    <col min="5393" max="5642" width="9.21875" style="144"/>
    <col min="5643" max="5643" width="12" style="144" customWidth="1"/>
    <col min="5644" max="5644" width="9.21875" style="144"/>
    <col min="5645" max="5645" width="14.21875" style="144" customWidth="1"/>
    <col min="5646" max="5646" width="9.21875" style="144"/>
    <col min="5647" max="5647" width="12.5546875" style="144" customWidth="1"/>
    <col min="5648" max="5648" width="3.21875" style="144" customWidth="1"/>
    <col min="5649" max="5898" width="9.21875" style="144"/>
    <col min="5899" max="5899" width="12" style="144" customWidth="1"/>
    <col min="5900" max="5900" width="9.21875" style="144"/>
    <col min="5901" max="5901" width="14.21875" style="144" customWidth="1"/>
    <col min="5902" max="5902" width="9.21875" style="144"/>
    <col min="5903" max="5903" width="12.5546875" style="144" customWidth="1"/>
    <col min="5904" max="5904" width="3.21875" style="144" customWidth="1"/>
    <col min="5905" max="6154" width="9.21875" style="144"/>
    <col min="6155" max="6155" width="12" style="144" customWidth="1"/>
    <col min="6156" max="6156" width="9.21875" style="144"/>
    <col min="6157" max="6157" width="14.21875" style="144" customWidth="1"/>
    <col min="6158" max="6158" width="9.21875" style="144"/>
    <col min="6159" max="6159" width="12.5546875" style="144" customWidth="1"/>
    <col min="6160" max="6160" width="3.21875" style="144" customWidth="1"/>
    <col min="6161" max="6410" width="9.21875" style="144"/>
    <col min="6411" max="6411" width="12" style="144" customWidth="1"/>
    <col min="6412" max="6412" width="9.21875" style="144"/>
    <col min="6413" max="6413" width="14.21875" style="144" customWidth="1"/>
    <col min="6414" max="6414" width="9.21875" style="144"/>
    <col min="6415" max="6415" width="12.5546875" style="144" customWidth="1"/>
    <col min="6416" max="6416" width="3.21875" style="144" customWidth="1"/>
    <col min="6417" max="6666" width="9.21875" style="144"/>
    <col min="6667" max="6667" width="12" style="144" customWidth="1"/>
    <col min="6668" max="6668" width="9.21875" style="144"/>
    <col min="6669" max="6669" width="14.21875" style="144" customWidth="1"/>
    <col min="6670" max="6670" width="9.21875" style="144"/>
    <col min="6671" max="6671" width="12.5546875" style="144" customWidth="1"/>
    <col min="6672" max="6672" width="3.21875" style="144" customWidth="1"/>
    <col min="6673" max="6922" width="9.21875" style="144"/>
    <col min="6923" max="6923" width="12" style="144" customWidth="1"/>
    <col min="6924" max="6924" width="9.21875" style="144"/>
    <col min="6925" max="6925" width="14.21875" style="144" customWidth="1"/>
    <col min="6926" max="6926" width="9.21875" style="144"/>
    <col min="6927" max="6927" width="12.5546875" style="144" customWidth="1"/>
    <col min="6928" max="6928" width="3.21875" style="144" customWidth="1"/>
    <col min="6929" max="7178" width="9.21875" style="144"/>
    <col min="7179" max="7179" width="12" style="144" customWidth="1"/>
    <col min="7180" max="7180" width="9.21875" style="144"/>
    <col min="7181" max="7181" width="14.21875" style="144" customWidth="1"/>
    <col min="7182" max="7182" width="9.21875" style="144"/>
    <col min="7183" max="7183" width="12.5546875" style="144" customWidth="1"/>
    <col min="7184" max="7184" width="3.21875" style="144" customWidth="1"/>
    <col min="7185" max="7434" width="9.21875" style="144"/>
    <col min="7435" max="7435" width="12" style="144" customWidth="1"/>
    <col min="7436" max="7436" width="9.21875" style="144"/>
    <col min="7437" max="7437" width="14.21875" style="144" customWidth="1"/>
    <col min="7438" max="7438" width="9.21875" style="144"/>
    <col min="7439" max="7439" width="12.5546875" style="144" customWidth="1"/>
    <col min="7440" max="7440" width="3.21875" style="144" customWidth="1"/>
    <col min="7441" max="7690" width="9.21875" style="144"/>
    <col min="7691" max="7691" width="12" style="144" customWidth="1"/>
    <col min="7692" max="7692" width="9.21875" style="144"/>
    <col min="7693" max="7693" width="14.21875" style="144" customWidth="1"/>
    <col min="7694" max="7694" width="9.21875" style="144"/>
    <col min="7695" max="7695" width="12.5546875" style="144" customWidth="1"/>
    <col min="7696" max="7696" width="3.21875" style="144" customWidth="1"/>
    <col min="7697" max="7946" width="9.21875" style="144"/>
    <col min="7947" max="7947" width="12" style="144" customWidth="1"/>
    <col min="7948" max="7948" width="9.21875" style="144"/>
    <col min="7949" max="7949" width="14.21875" style="144" customWidth="1"/>
    <col min="7950" max="7950" width="9.21875" style="144"/>
    <col min="7951" max="7951" width="12.5546875" style="144" customWidth="1"/>
    <col min="7952" max="7952" width="3.21875" style="144" customWidth="1"/>
    <col min="7953" max="8202" width="9.21875" style="144"/>
    <col min="8203" max="8203" width="12" style="144" customWidth="1"/>
    <col min="8204" max="8204" width="9.21875" style="144"/>
    <col min="8205" max="8205" width="14.21875" style="144" customWidth="1"/>
    <col min="8206" max="8206" width="9.21875" style="144"/>
    <col min="8207" max="8207" width="12.5546875" style="144" customWidth="1"/>
    <col min="8208" max="8208" width="3.21875" style="144" customWidth="1"/>
    <col min="8209" max="8458" width="9.21875" style="144"/>
    <col min="8459" max="8459" width="12" style="144" customWidth="1"/>
    <col min="8460" max="8460" width="9.21875" style="144"/>
    <col min="8461" max="8461" width="14.21875" style="144" customWidth="1"/>
    <col min="8462" max="8462" width="9.21875" style="144"/>
    <col min="8463" max="8463" width="12.5546875" style="144" customWidth="1"/>
    <col min="8464" max="8464" width="3.21875" style="144" customWidth="1"/>
    <col min="8465" max="8714" width="9.21875" style="144"/>
    <col min="8715" max="8715" width="12" style="144" customWidth="1"/>
    <col min="8716" max="8716" width="9.21875" style="144"/>
    <col min="8717" max="8717" width="14.21875" style="144" customWidth="1"/>
    <col min="8718" max="8718" width="9.21875" style="144"/>
    <col min="8719" max="8719" width="12.5546875" style="144" customWidth="1"/>
    <col min="8720" max="8720" width="3.21875" style="144" customWidth="1"/>
    <col min="8721" max="8970" width="9.21875" style="144"/>
    <col min="8971" max="8971" width="12" style="144" customWidth="1"/>
    <col min="8972" max="8972" width="9.21875" style="144"/>
    <col min="8973" max="8973" width="14.21875" style="144" customWidth="1"/>
    <col min="8974" max="8974" width="9.21875" style="144"/>
    <col min="8975" max="8975" width="12.5546875" style="144" customWidth="1"/>
    <col min="8976" max="8976" width="3.21875" style="144" customWidth="1"/>
    <col min="8977" max="9226" width="9.21875" style="144"/>
    <col min="9227" max="9227" width="12" style="144" customWidth="1"/>
    <col min="9228" max="9228" width="9.21875" style="144"/>
    <col min="9229" max="9229" width="14.21875" style="144" customWidth="1"/>
    <col min="9230" max="9230" width="9.21875" style="144"/>
    <col min="9231" max="9231" width="12.5546875" style="144" customWidth="1"/>
    <col min="9232" max="9232" width="3.21875" style="144" customWidth="1"/>
    <col min="9233" max="9482" width="9.21875" style="144"/>
    <col min="9483" max="9483" width="12" style="144" customWidth="1"/>
    <col min="9484" max="9484" width="9.21875" style="144"/>
    <col min="9485" max="9485" width="14.21875" style="144" customWidth="1"/>
    <col min="9486" max="9486" width="9.21875" style="144"/>
    <col min="9487" max="9487" width="12.5546875" style="144" customWidth="1"/>
    <col min="9488" max="9488" width="3.21875" style="144" customWidth="1"/>
    <col min="9489" max="9738" width="9.21875" style="144"/>
    <col min="9739" max="9739" width="12" style="144" customWidth="1"/>
    <col min="9740" max="9740" width="9.21875" style="144"/>
    <col min="9741" max="9741" width="14.21875" style="144" customWidth="1"/>
    <col min="9742" max="9742" width="9.21875" style="144"/>
    <col min="9743" max="9743" width="12.5546875" style="144" customWidth="1"/>
    <col min="9744" max="9744" width="3.21875" style="144" customWidth="1"/>
    <col min="9745" max="9994" width="9.21875" style="144"/>
    <col min="9995" max="9995" width="12" style="144" customWidth="1"/>
    <col min="9996" max="9996" width="9.21875" style="144"/>
    <col min="9997" max="9997" width="14.21875" style="144" customWidth="1"/>
    <col min="9998" max="9998" width="9.21875" style="144"/>
    <col min="9999" max="9999" width="12.5546875" style="144" customWidth="1"/>
    <col min="10000" max="10000" width="3.21875" style="144" customWidth="1"/>
    <col min="10001" max="10250" width="9.21875" style="144"/>
    <col min="10251" max="10251" width="12" style="144" customWidth="1"/>
    <col min="10252" max="10252" width="9.21875" style="144"/>
    <col min="10253" max="10253" width="14.21875" style="144" customWidth="1"/>
    <col min="10254" max="10254" width="9.21875" style="144"/>
    <col min="10255" max="10255" width="12.5546875" style="144" customWidth="1"/>
    <col min="10256" max="10256" width="3.21875" style="144" customWidth="1"/>
    <col min="10257" max="10506" width="9.21875" style="144"/>
    <col min="10507" max="10507" width="12" style="144" customWidth="1"/>
    <col min="10508" max="10508" width="9.21875" style="144"/>
    <col min="10509" max="10509" width="14.21875" style="144" customWidth="1"/>
    <col min="10510" max="10510" width="9.21875" style="144"/>
    <col min="10511" max="10511" width="12.5546875" style="144" customWidth="1"/>
    <col min="10512" max="10512" width="3.21875" style="144" customWidth="1"/>
    <col min="10513" max="10762" width="9.21875" style="144"/>
    <col min="10763" max="10763" width="12" style="144" customWidth="1"/>
    <col min="10764" max="10764" width="9.21875" style="144"/>
    <col min="10765" max="10765" width="14.21875" style="144" customWidth="1"/>
    <col min="10766" max="10766" width="9.21875" style="144"/>
    <col min="10767" max="10767" width="12.5546875" style="144" customWidth="1"/>
    <col min="10768" max="10768" width="3.21875" style="144" customWidth="1"/>
    <col min="10769" max="11018" width="9.21875" style="144"/>
    <col min="11019" max="11019" width="12" style="144" customWidth="1"/>
    <col min="11020" max="11020" width="9.21875" style="144"/>
    <col min="11021" max="11021" width="14.21875" style="144" customWidth="1"/>
    <col min="11022" max="11022" width="9.21875" style="144"/>
    <col min="11023" max="11023" width="12.5546875" style="144" customWidth="1"/>
    <col min="11024" max="11024" width="3.21875" style="144" customWidth="1"/>
    <col min="11025" max="11274" width="9.21875" style="144"/>
    <col min="11275" max="11275" width="12" style="144" customWidth="1"/>
    <col min="11276" max="11276" width="9.21875" style="144"/>
    <col min="11277" max="11277" width="14.21875" style="144" customWidth="1"/>
    <col min="11278" max="11278" width="9.21875" style="144"/>
    <col min="11279" max="11279" width="12.5546875" style="144" customWidth="1"/>
    <col min="11280" max="11280" width="3.21875" style="144" customWidth="1"/>
    <col min="11281" max="11530" width="9.21875" style="144"/>
    <col min="11531" max="11531" width="12" style="144" customWidth="1"/>
    <col min="11532" max="11532" width="9.21875" style="144"/>
    <col min="11533" max="11533" width="14.21875" style="144" customWidth="1"/>
    <col min="11534" max="11534" width="9.21875" style="144"/>
    <col min="11535" max="11535" width="12.5546875" style="144" customWidth="1"/>
    <col min="11536" max="11536" width="3.21875" style="144" customWidth="1"/>
    <col min="11537" max="11786" width="9.21875" style="144"/>
    <col min="11787" max="11787" width="12" style="144" customWidth="1"/>
    <col min="11788" max="11788" width="9.21875" style="144"/>
    <col min="11789" max="11789" width="14.21875" style="144" customWidth="1"/>
    <col min="11790" max="11790" width="9.21875" style="144"/>
    <col min="11791" max="11791" width="12.5546875" style="144" customWidth="1"/>
    <col min="11792" max="11792" width="3.21875" style="144" customWidth="1"/>
    <col min="11793" max="12042" width="9.21875" style="144"/>
    <col min="12043" max="12043" width="12" style="144" customWidth="1"/>
    <col min="12044" max="12044" width="9.21875" style="144"/>
    <col min="12045" max="12045" width="14.21875" style="144" customWidth="1"/>
    <col min="12046" max="12046" width="9.21875" style="144"/>
    <col min="12047" max="12047" width="12.5546875" style="144" customWidth="1"/>
    <col min="12048" max="12048" width="3.21875" style="144" customWidth="1"/>
    <col min="12049" max="12298" width="9.21875" style="144"/>
    <col min="12299" max="12299" width="12" style="144" customWidth="1"/>
    <col min="12300" max="12300" width="9.21875" style="144"/>
    <col min="12301" max="12301" width="14.21875" style="144" customWidth="1"/>
    <col min="12302" max="12302" width="9.21875" style="144"/>
    <col min="12303" max="12303" width="12.5546875" style="144" customWidth="1"/>
    <col min="12304" max="12304" width="3.21875" style="144" customWidth="1"/>
    <col min="12305" max="12554" width="9.21875" style="144"/>
    <col min="12555" max="12555" width="12" style="144" customWidth="1"/>
    <col min="12556" max="12556" width="9.21875" style="144"/>
    <col min="12557" max="12557" width="14.21875" style="144" customWidth="1"/>
    <col min="12558" max="12558" width="9.21875" style="144"/>
    <col min="12559" max="12559" width="12.5546875" style="144" customWidth="1"/>
    <col min="12560" max="12560" width="3.21875" style="144" customWidth="1"/>
    <col min="12561" max="12810" width="9.21875" style="144"/>
    <col min="12811" max="12811" width="12" style="144" customWidth="1"/>
    <col min="12812" max="12812" width="9.21875" style="144"/>
    <col min="12813" max="12813" width="14.21875" style="144" customWidth="1"/>
    <col min="12814" max="12814" width="9.21875" style="144"/>
    <col min="12815" max="12815" width="12.5546875" style="144" customWidth="1"/>
    <col min="12816" max="12816" width="3.21875" style="144" customWidth="1"/>
    <col min="12817" max="13066" width="9.21875" style="144"/>
    <col min="13067" max="13067" width="12" style="144" customWidth="1"/>
    <col min="13068" max="13068" width="9.21875" style="144"/>
    <col min="13069" max="13069" width="14.21875" style="144" customWidth="1"/>
    <col min="13070" max="13070" width="9.21875" style="144"/>
    <col min="13071" max="13071" width="12.5546875" style="144" customWidth="1"/>
    <col min="13072" max="13072" width="3.21875" style="144" customWidth="1"/>
    <col min="13073" max="13322" width="9.21875" style="144"/>
    <col min="13323" max="13323" width="12" style="144" customWidth="1"/>
    <col min="13324" max="13324" width="9.21875" style="144"/>
    <col min="13325" max="13325" width="14.21875" style="144" customWidth="1"/>
    <col min="13326" max="13326" width="9.21875" style="144"/>
    <col min="13327" max="13327" width="12.5546875" style="144" customWidth="1"/>
    <col min="13328" max="13328" width="3.21875" style="144" customWidth="1"/>
    <col min="13329" max="13578" width="9.21875" style="144"/>
    <col min="13579" max="13579" width="12" style="144" customWidth="1"/>
    <col min="13580" max="13580" width="9.21875" style="144"/>
    <col min="13581" max="13581" width="14.21875" style="144" customWidth="1"/>
    <col min="13582" max="13582" width="9.21875" style="144"/>
    <col min="13583" max="13583" width="12.5546875" style="144" customWidth="1"/>
    <col min="13584" max="13584" width="3.21875" style="144" customWidth="1"/>
    <col min="13585" max="13834" width="9.21875" style="144"/>
    <col min="13835" max="13835" width="12" style="144" customWidth="1"/>
    <col min="13836" max="13836" width="9.21875" style="144"/>
    <col min="13837" max="13837" width="14.21875" style="144" customWidth="1"/>
    <col min="13838" max="13838" width="9.21875" style="144"/>
    <col min="13839" max="13839" width="12.5546875" style="144" customWidth="1"/>
    <col min="13840" max="13840" width="3.21875" style="144" customWidth="1"/>
    <col min="13841" max="14090" width="9.21875" style="144"/>
    <col min="14091" max="14091" width="12" style="144" customWidth="1"/>
    <col min="14092" max="14092" width="9.21875" style="144"/>
    <col min="14093" max="14093" width="14.21875" style="144" customWidth="1"/>
    <col min="14094" max="14094" width="9.21875" style="144"/>
    <col min="14095" max="14095" width="12.5546875" style="144" customWidth="1"/>
    <col min="14096" max="14096" width="3.21875" style="144" customWidth="1"/>
    <col min="14097" max="14346" width="9.21875" style="144"/>
    <col min="14347" max="14347" width="12" style="144" customWidth="1"/>
    <col min="14348" max="14348" width="9.21875" style="144"/>
    <col min="14349" max="14349" width="14.21875" style="144" customWidth="1"/>
    <col min="14350" max="14350" width="9.21875" style="144"/>
    <col min="14351" max="14351" width="12.5546875" style="144" customWidth="1"/>
    <col min="14352" max="14352" width="3.21875" style="144" customWidth="1"/>
    <col min="14353" max="14602" width="9.21875" style="144"/>
    <col min="14603" max="14603" width="12" style="144" customWidth="1"/>
    <col min="14604" max="14604" width="9.21875" style="144"/>
    <col min="14605" max="14605" width="14.21875" style="144" customWidth="1"/>
    <col min="14606" max="14606" width="9.21875" style="144"/>
    <col min="14607" max="14607" width="12.5546875" style="144" customWidth="1"/>
    <col min="14608" max="14608" width="3.21875" style="144" customWidth="1"/>
    <col min="14609" max="14858" width="9.21875" style="144"/>
    <col min="14859" max="14859" width="12" style="144" customWidth="1"/>
    <col min="14860" max="14860" width="9.21875" style="144"/>
    <col min="14861" max="14861" width="14.21875" style="144" customWidth="1"/>
    <col min="14862" max="14862" width="9.21875" style="144"/>
    <col min="14863" max="14863" width="12.5546875" style="144" customWidth="1"/>
    <col min="14864" max="14864" width="3.21875" style="144" customWidth="1"/>
    <col min="14865" max="15114" width="9.21875" style="144"/>
    <col min="15115" max="15115" width="12" style="144" customWidth="1"/>
    <col min="15116" max="15116" width="9.21875" style="144"/>
    <col min="15117" max="15117" width="14.21875" style="144" customWidth="1"/>
    <col min="15118" max="15118" width="9.21875" style="144"/>
    <col min="15119" max="15119" width="12.5546875" style="144" customWidth="1"/>
    <col min="15120" max="15120" width="3.21875" style="144" customWidth="1"/>
    <col min="15121" max="15370" width="9.21875" style="144"/>
    <col min="15371" max="15371" width="12" style="144" customWidth="1"/>
    <col min="15372" max="15372" width="9.21875" style="144"/>
    <col min="15373" max="15373" width="14.21875" style="144" customWidth="1"/>
    <col min="15374" max="15374" width="9.21875" style="144"/>
    <col min="15375" max="15375" width="12.5546875" style="144" customWidth="1"/>
    <col min="15376" max="15376" width="3.21875" style="144" customWidth="1"/>
    <col min="15377" max="15626" width="9.21875" style="144"/>
    <col min="15627" max="15627" width="12" style="144" customWidth="1"/>
    <col min="15628" max="15628" width="9.21875" style="144"/>
    <col min="15629" max="15629" width="14.21875" style="144" customWidth="1"/>
    <col min="15630" max="15630" width="9.21875" style="144"/>
    <col min="15631" max="15631" width="12.5546875" style="144" customWidth="1"/>
    <col min="15632" max="15632" width="3.21875" style="144" customWidth="1"/>
    <col min="15633" max="15882" width="9.21875" style="144"/>
    <col min="15883" max="15883" width="12" style="144" customWidth="1"/>
    <col min="15884" max="15884" width="9.21875" style="144"/>
    <col min="15885" max="15885" width="14.21875" style="144" customWidth="1"/>
    <col min="15886" max="15886" width="9.21875" style="144"/>
    <col min="15887" max="15887" width="12.5546875" style="144" customWidth="1"/>
    <col min="15888" max="15888" width="3.21875" style="144" customWidth="1"/>
    <col min="15889" max="16138" width="9.21875" style="144"/>
    <col min="16139" max="16139" width="12" style="144" customWidth="1"/>
    <col min="16140" max="16140" width="9.21875" style="144"/>
    <col min="16141" max="16141" width="14.21875" style="144" customWidth="1"/>
    <col min="16142" max="16142" width="9.21875" style="144"/>
    <col min="16143" max="16143" width="12.5546875" style="144" customWidth="1"/>
    <col min="16144" max="16144" width="3.21875" style="144" customWidth="1"/>
    <col min="16145" max="16384" width="9.21875" style="144"/>
  </cols>
  <sheetData>
    <row r="1" spans="1:19" x14ac:dyDescent="0.25">
      <c r="L1" s="229"/>
      <c r="N1" s="1"/>
      <c r="S1" s="229" t="s">
        <v>1138</v>
      </c>
    </row>
    <row r="2" spans="1:19" s="147" customFormat="1" x14ac:dyDescent="0.25">
      <c r="A2" s="344"/>
    </row>
    <row r="3" spans="1:19" s="147" customFormat="1" ht="17.399999999999999" x14ac:dyDescent="0.3">
      <c r="A3" s="252"/>
      <c r="B3" s="358" t="s">
        <v>1139</v>
      </c>
      <c r="C3" s="249"/>
      <c r="D3" s="249"/>
      <c r="E3" s="346"/>
      <c r="F3" s="346"/>
      <c r="G3" s="346"/>
      <c r="H3" s="249"/>
      <c r="I3" s="250"/>
      <c r="J3" s="249"/>
      <c r="K3" s="249"/>
      <c r="L3" s="249"/>
      <c r="M3" s="249"/>
      <c r="N3" s="249"/>
      <c r="O3" s="249"/>
      <c r="P3" s="249"/>
    </row>
    <row r="4" spans="1:19" s="147" customFormat="1" x14ac:dyDescent="0.25">
      <c r="A4" s="252"/>
      <c r="B4" s="345"/>
      <c r="C4" s="249"/>
      <c r="D4" s="249"/>
      <c r="E4" s="346"/>
      <c r="F4" s="346"/>
      <c r="G4" s="346"/>
      <c r="H4" s="249"/>
      <c r="I4" s="250"/>
      <c r="J4" s="249"/>
      <c r="K4" s="249"/>
      <c r="L4" s="249"/>
      <c r="M4" s="249"/>
      <c r="N4" s="249"/>
      <c r="O4" s="249"/>
      <c r="P4" s="249"/>
    </row>
    <row r="5" spans="1:19" s="147" customFormat="1" ht="6.75" customHeight="1" x14ac:dyDescent="0.25">
      <c r="A5" s="252"/>
      <c r="B5" s="347"/>
      <c r="C5" s="348"/>
      <c r="D5" s="348"/>
      <c r="E5" s="349"/>
      <c r="F5" s="349"/>
      <c r="G5" s="349"/>
      <c r="H5" s="348"/>
      <c r="I5" s="350"/>
      <c r="J5" s="348"/>
      <c r="K5" s="348"/>
      <c r="L5" s="348"/>
      <c r="M5" s="348"/>
      <c r="N5" s="348"/>
      <c r="O5" s="348"/>
      <c r="P5" s="249"/>
    </row>
    <row r="6" spans="1:19" s="353" customFormat="1" ht="12.75" customHeight="1" x14ac:dyDescent="0.25">
      <c r="A6" s="235" t="s">
        <v>1140</v>
      </c>
      <c r="B6" s="348" t="s">
        <v>1141</v>
      </c>
      <c r="C6" s="351"/>
      <c r="D6" s="351"/>
      <c r="E6" s="351"/>
      <c r="F6" s="351"/>
      <c r="G6" s="351"/>
      <c r="H6" s="351"/>
      <c r="I6" s="351"/>
      <c r="J6" s="351"/>
      <c r="K6" s="351"/>
      <c r="L6" s="351"/>
      <c r="M6" s="351"/>
      <c r="N6" s="351"/>
      <c r="O6" s="351"/>
      <c r="P6" s="352"/>
    </row>
    <row r="7" spans="1:19" s="353" customFormat="1" x14ac:dyDescent="0.25">
      <c r="A7" s="252"/>
      <c r="B7" s="351"/>
      <c r="C7" s="351"/>
      <c r="D7" s="351"/>
      <c r="E7" s="351"/>
      <c r="F7" s="351"/>
      <c r="G7" s="351"/>
      <c r="H7" s="351"/>
      <c r="I7" s="351"/>
      <c r="J7" s="351"/>
      <c r="K7" s="351"/>
      <c r="L7" s="351"/>
      <c r="M7" s="351"/>
      <c r="N7" s="351"/>
      <c r="O7" s="351"/>
      <c r="P7" s="352"/>
    </row>
    <row r="8" spans="1:19" s="353" customFormat="1" ht="6.75" customHeight="1" x14ac:dyDescent="0.25">
      <c r="A8" s="252"/>
      <c r="B8" s="347"/>
      <c r="C8" s="348"/>
      <c r="D8" s="348"/>
      <c r="E8" s="349"/>
      <c r="F8" s="349"/>
      <c r="G8" s="349"/>
      <c r="H8" s="348"/>
      <c r="I8" s="350"/>
      <c r="J8" s="348"/>
      <c r="K8" s="348"/>
      <c r="L8" s="348"/>
      <c r="M8" s="348"/>
      <c r="N8" s="348"/>
      <c r="O8" s="348"/>
      <c r="P8" s="352"/>
    </row>
    <row r="9" spans="1:19" s="353" customFormat="1" ht="6.75" customHeight="1" x14ac:dyDescent="0.25">
      <c r="A9" s="252"/>
      <c r="B9" s="347"/>
      <c r="C9" s="348"/>
      <c r="D9" s="348"/>
      <c r="E9" s="349"/>
      <c r="F9" s="349"/>
      <c r="G9" s="349"/>
      <c r="H9" s="348"/>
      <c r="I9" s="350"/>
      <c r="J9" s="348"/>
      <c r="K9" s="348"/>
      <c r="L9" s="348"/>
      <c r="M9" s="348"/>
      <c r="N9" s="348"/>
      <c r="O9" s="348"/>
      <c r="P9" s="352"/>
    </row>
    <row r="10" spans="1:19" s="353" customFormat="1" ht="12.75" customHeight="1" x14ac:dyDescent="0.25">
      <c r="A10" s="235" t="s">
        <v>1140</v>
      </c>
      <c r="B10" s="348" t="s">
        <v>1156</v>
      </c>
      <c r="C10" s="351"/>
      <c r="D10" s="351"/>
      <c r="E10" s="351"/>
      <c r="F10" s="351"/>
      <c r="G10" s="351"/>
      <c r="H10" s="351"/>
      <c r="I10" s="351"/>
      <c r="J10" s="351"/>
      <c r="K10" s="351"/>
      <c r="L10" s="351"/>
      <c r="M10" s="351"/>
      <c r="N10" s="351"/>
      <c r="O10" s="351"/>
      <c r="P10" s="352"/>
    </row>
    <row r="11" spans="1:19" s="353" customFormat="1" ht="5.25" customHeight="1" x14ac:dyDescent="0.25">
      <c r="A11" s="252"/>
      <c r="B11" s="347"/>
      <c r="C11" s="348"/>
      <c r="D11" s="348"/>
      <c r="E11" s="349"/>
      <c r="F11" s="349"/>
      <c r="G11" s="349"/>
      <c r="H11" s="348"/>
      <c r="I11" s="350"/>
      <c r="J11" s="348"/>
      <c r="K11" s="348"/>
      <c r="L11" s="348"/>
      <c r="M11" s="348"/>
      <c r="N11" s="348"/>
      <c r="O11" s="348"/>
      <c r="P11" s="352"/>
    </row>
    <row r="12" spans="1:19" s="353" customFormat="1" ht="12.75" customHeight="1" x14ac:dyDescent="0.25">
      <c r="A12" s="235" t="s">
        <v>1140</v>
      </c>
      <c r="B12" s="348" t="s">
        <v>1157</v>
      </c>
      <c r="C12" s="351"/>
      <c r="D12" s="351"/>
      <c r="E12" s="351"/>
      <c r="F12" s="351"/>
      <c r="G12" s="351"/>
      <c r="H12" s="351"/>
      <c r="I12" s="351"/>
      <c r="J12" s="351"/>
      <c r="K12" s="351"/>
      <c r="L12" s="351"/>
      <c r="M12" s="351"/>
      <c r="N12" s="351"/>
      <c r="O12" s="351"/>
      <c r="P12" s="352"/>
    </row>
    <row r="13" spans="1:19" s="353" customFormat="1" ht="28.5" customHeight="1" x14ac:dyDescent="0.25">
      <c r="A13" s="252"/>
      <c r="B13" s="351"/>
      <c r="C13" s="351"/>
      <c r="D13" s="351"/>
      <c r="E13" s="351"/>
      <c r="F13" s="351"/>
      <c r="G13" s="351"/>
      <c r="H13" s="351"/>
      <c r="I13" s="351"/>
      <c r="J13" s="351"/>
      <c r="K13" s="351"/>
      <c r="L13" s="351"/>
      <c r="M13" s="351"/>
      <c r="N13" s="351"/>
      <c r="O13" s="351"/>
      <c r="P13" s="352"/>
    </row>
    <row r="14" spans="1:19" s="353" customFormat="1" ht="12.75" customHeight="1" x14ac:dyDescent="0.25">
      <c r="A14" s="235" t="s">
        <v>1140</v>
      </c>
      <c r="B14" s="348" t="s">
        <v>1165</v>
      </c>
      <c r="C14" s="351"/>
      <c r="D14" s="351"/>
      <c r="E14" s="351"/>
      <c r="F14" s="351"/>
      <c r="G14" s="351"/>
      <c r="H14" s="351"/>
      <c r="I14" s="351"/>
      <c r="J14" s="351"/>
      <c r="K14" s="351"/>
      <c r="L14" s="351"/>
      <c r="M14" s="351"/>
      <c r="N14" s="351"/>
      <c r="O14" s="351"/>
      <c r="P14" s="352"/>
    </row>
    <row r="15" spans="1:19" s="353" customFormat="1" ht="30" customHeight="1" x14ac:dyDescent="0.25">
      <c r="A15" s="252"/>
      <c r="B15" s="351" t="s">
        <v>1164</v>
      </c>
      <c r="C15" s="351"/>
      <c r="D15" s="351"/>
      <c r="E15" s="351"/>
      <c r="F15" s="351"/>
      <c r="G15" s="351"/>
      <c r="H15" s="351"/>
      <c r="I15" s="351"/>
      <c r="J15" s="351"/>
      <c r="K15" s="351"/>
      <c r="L15" s="351"/>
      <c r="M15" s="351"/>
      <c r="N15" s="351"/>
      <c r="O15" s="351"/>
      <c r="P15" s="352"/>
    </row>
    <row r="16" spans="1:19" s="357" customFormat="1" x14ac:dyDescent="0.25">
      <c r="A16" s="235" t="s">
        <v>1140</v>
      </c>
      <c r="B16" s="354" t="s">
        <v>1142</v>
      </c>
      <c r="C16" s="355"/>
      <c r="D16" s="355"/>
      <c r="E16" s="355"/>
      <c r="F16" s="355"/>
      <c r="G16" s="355"/>
      <c r="H16" s="355"/>
      <c r="I16" s="355"/>
      <c r="J16" s="355"/>
      <c r="K16" s="355"/>
      <c r="L16" s="355"/>
      <c r="M16" s="355"/>
      <c r="N16" s="355"/>
      <c r="O16" s="355"/>
      <c r="P16" s="356"/>
    </row>
    <row r="17" spans="1:16" s="353" customFormat="1" ht="6.75" customHeight="1" x14ac:dyDescent="0.25">
      <c r="A17" s="252"/>
      <c r="B17" s="347"/>
      <c r="C17" s="348"/>
      <c r="D17" s="348"/>
      <c r="E17" s="349"/>
      <c r="F17" s="349"/>
      <c r="G17" s="349"/>
      <c r="H17" s="348"/>
      <c r="I17" s="350"/>
      <c r="J17" s="348"/>
      <c r="K17" s="348"/>
      <c r="L17" s="348"/>
      <c r="M17" s="348"/>
      <c r="N17" s="348"/>
      <c r="O17" s="348"/>
      <c r="P17" s="352"/>
    </row>
    <row r="18" spans="1:16" s="353" customFormat="1" ht="12.75" customHeight="1" x14ac:dyDescent="0.25">
      <c r="A18" s="235" t="s">
        <v>1140</v>
      </c>
      <c r="B18" s="348" t="s">
        <v>1158</v>
      </c>
      <c r="C18" s="351"/>
      <c r="D18" s="351"/>
      <c r="E18" s="351"/>
      <c r="F18" s="351"/>
      <c r="G18" s="351"/>
      <c r="H18" s="351"/>
      <c r="I18" s="351"/>
      <c r="J18" s="351"/>
      <c r="K18" s="351"/>
      <c r="L18" s="351"/>
      <c r="M18" s="351"/>
      <c r="N18" s="351"/>
      <c r="O18" s="351"/>
      <c r="P18" s="352"/>
    </row>
    <row r="19" spans="1:16" s="353" customFormat="1" ht="8.25" customHeight="1" x14ac:dyDescent="0.25">
      <c r="A19" s="252"/>
      <c r="B19" s="347"/>
      <c r="C19" s="348"/>
      <c r="D19" s="348"/>
      <c r="E19" s="349"/>
      <c r="F19" s="349"/>
      <c r="G19" s="349"/>
      <c r="H19" s="348"/>
      <c r="I19" s="350"/>
      <c r="J19" s="348"/>
      <c r="K19" s="348"/>
      <c r="L19" s="348"/>
      <c r="M19" s="348"/>
      <c r="N19" s="348"/>
      <c r="O19" s="348"/>
      <c r="P19" s="352"/>
    </row>
    <row r="20" spans="1:16" s="353" customFormat="1" x14ac:dyDescent="0.25">
      <c r="A20" s="235" t="s">
        <v>1140</v>
      </c>
      <c r="B20" s="348" t="s">
        <v>1143</v>
      </c>
      <c r="C20" s="348"/>
      <c r="D20" s="348"/>
      <c r="E20" s="349"/>
      <c r="F20" s="349"/>
      <c r="G20" s="349"/>
      <c r="H20" s="348"/>
      <c r="I20" s="350"/>
      <c r="J20" s="348"/>
      <c r="K20" s="348"/>
      <c r="L20" s="348"/>
      <c r="M20" s="348"/>
      <c r="N20" s="348"/>
      <c r="O20" s="348"/>
      <c r="P20" s="352"/>
    </row>
    <row r="21" spans="1:16" ht="6.75" customHeight="1" x14ac:dyDescent="0.25">
      <c r="A21" s="237"/>
      <c r="B21" s="236"/>
      <c r="C21" s="231"/>
      <c r="D21" s="231"/>
      <c r="E21" s="232"/>
      <c r="F21" s="232"/>
      <c r="G21" s="232"/>
      <c r="H21" s="233"/>
      <c r="I21" s="234"/>
      <c r="J21" s="231"/>
      <c r="K21" s="231"/>
      <c r="L21" s="231"/>
      <c r="M21" s="231"/>
      <c r="N21" s="231"/>
      <c r="O21" s="231"/>
      <c r="P21" s="1"/>
    </row>
    <row r="22" spans="1:16" x14ac:dyDescent="0.25">
      <c r="A22" s="230"/>
      <c r="B22" s="1"/>
      <c r="C22" s="33"/>
      <c r="D22" s="33"/>
      <c r="E22" s="33"/>
      <c r="F22" s="33"/>
      <c r="G22" s="33"/>
      <c r="H22" s="33"/>
      <c r="I22" s="33"/>
      <c r="J22" s="33"/>
      <c r="K22" s="33"/>
      <c r="L22" s="33"/>
      <c r="M22" s="33"/>
      <c r="N22" s="33"/>
      <c r="O22" s="33"/>
      <c r="P22" s="33"/>
    </row>
    <row r="23" spans="1:16" x14ac:dyDescent="0.25">
      <c r="A23" s="238"/>
      <c r="B23" s="239"/>
      <c r="C23" s="240"/>
      <c r="D23" s="240"/>
      <c r="E23" s="240"/>
      <c r="F23" s="240"/>
      <c r="G23" s="240"/>
      <c r="H23" s="240"/>
      <c r="I23" s="240"/>
      <c r="J23" s="240"/>
      <c r="K23" s="240"/>
      <c r="L23" s="240"/>
      <c r="M23" s="240"/>
      <c r="N23" s="240"/>
      <c r="O23" s="240"/>
      <c r="P23" s="241"/>
    </row>
    <row r="24" spans="1:16" ht="21" x14ac:dyDescent="0.4">
      <c r="A24" s="238"/>
      <c r="B24" s="315" t="s">
        <v>1204</v>
      </c>
      <c r="C24" s="316"/>
      <c r="D24" s="316"/>
      <c r="E24" s="316"/>
      <c r="F24" s="316"/>
      <c r="G24" s="316"/>
      <c r="H24" s="316"/>
      <c r="I24" s="316"/>
      <c r="J24" s="316"/>
      <c r="K24" s="316"/>
      <c r="L24" s="316"/>
      <c r="M24" s="316"/>
      <c r="N24" s="316"/>
      <c r="O24" s="317"/>
      <c r="P24" s="8"/>
    </row>
    <row r="25" spans="1:16" x14ac:dyDescent="0.25">
      <c r="A25" s="238"/>
      <c r="B25" s="7"/>
      <c r="C25" s="1"/>
      <c r="D25" s="1"/>
      <c r="E25" s="1"/>
      <c r="F25" s="1"/>
      <c r="G25" s="1"/>
      <c r="H25" s="1"/>
      <c r="I25" s="1"/>
      <c r="J25" s="1"/>
      <c r="K25" s="1"/>
      <c r="L25" s="1"/>
      <c r="M25" s="1"/>
      <c r="N25" s="1"/>
      <c r="O25" s="1"/>
      <c r="P25" s="8"/>
    </row>
    <row r="26" spans="1:16" ht="18.600000000000001" x14ac:dyDescent="0.45">
      <c r="A26" s="238"/>
      <c r="B26" s="9" t="s">
        <v>0</v>
      </c>
      <c r="C26" s="10"/>
      <c r="D26" s="242" t="s">
        <v>1159</v>
      </c>
      <c r="E26" s="1"/>
      <c r="F26" s="1"/>
      <c r="G26" s="1"/>
      <c r="H26" s="1"/>
      <c r="I26" s="1"/>
      <c r="J26" s="1"/>
      <c r="K26" s="1"/>
      <c r="L26" s="1"/>
      <c r="M26" s="1"/>
      <c r="N26" s="1"/>
      <c r="O26" s="1"/>
      <c r="P26" s="8"/>
    </row>
    <row r="27" spans="1:16" ht="18.600000000000001" x14ac:dyDescent="0.45">
      <c r="A27" s="238"/>
      <c r="B27" s="9" t="s">
        <v>1</v>
      </c>
      <c r="C27" s="12"/>
      <c r="D27" s="243">
        <v>9999</v>
      </c>
      <c r="E27" s="1"/>
      <c r="F27" s="1"/>
      <c r="G27" s="1"/>
      <c r="H27" s="1"/>
      <c r="I27" s="1"/>
      <c r="J27" s="1"/>
      <c r="K27" s="1"/>
      <c r="L27" s="1"/>
      <c r="M27" s="1"/>
      <c r="N27" s="1"/>
      <c r="O27" s="1"/>
      <c r="P27" s="8"/>
    </row>
    <row r="28" spans="1:16" ht="18.600000000000001" x14ac:dyDescent="0.45">
      <c r="A28" s="238"/>
      <c r="B28" s="9" t="s">
        <v>2</v>
      </c>
      <c r="C28" s="10"/>
      <c r="D28" s="242" t="s">
        <v>1144</v>
      </c>
      <c r="E28" s="1"/>
      <c r="F28" s="1"/>
      <c r="G28" s="1"/>
      <c r="H28" s="1"/>
      <c r="I28" s="1"/>
      <c r="J28" s="1"/>
      <c r="K28" s="1"/>
      <c r="L28" s="1"/>
      <c r="M28" s="1"/>
      <c r="N28" s="1"/>
      <c r="O28" s="1"/>
      <c r="P28" s="8"/>
    </row>
    <row r="29" spans="1:16" ht="15.6" x14ac:dyDescent="0.3">
      <c r="A29" s="238"/>
      <c r="B29" s="9"/>
      <c r="C29" s="10"/>
      <c r="D29" s="11"/>
      <c r="E29" s="1"/>
      <c r="F29" s="1"/>
      <c r="G29" s="1"/>
      <c r="H29" s="1"/>
      <c r="I29" s="1"/>
      <c r="J29" s="1"/>
      <c r="K29" s="1"/>
      <c r="L29" s="1"/>
      <c r="M29" s="1"/>
      <c r="N29" s="1"/>
      <c r="O29" s="1"/>
      <c r="P29" s="8"/>
    </row>
    <row r="30" spans="1:16" ht="24.6" x14ac:dyDescent="0.4">
      <c r="A30" s="238"/>
      <c r="B30" s="308" t="s">
        <v>1106</v>
      </c>
      <c r="C30" s="381"/>
      <c r="D30" s="382" t="s">
        <v>1107</v>
      </c>
      <c r="E30" s="310"/>
      <c r="F30" s="310"/>
      <c r="G30" s="310"/>
      <c r="H30" s="310"/>
      <c r="I30" s="310"/>
      <c r="J30" s="310"/>
      <c r="K30" s="310"/>
      <c r="L30" s="383" t="s">
        <v>3</v>
      </c>
      <c r="M30" s="384"/>
      <c r="N30" s="310"/>
      <c r="O30" s="385"/>
      <c r="P30" s="8"/>
    </row>
    <row r="31" spans="1:16" ht="15.6" x14ac:dyDescent="0.3">
      <c r="A31" s="238"/>
      <c r="B31" s="9"/>
      <c r="C31" s="10"/>
      <c r="D31" s="11"/>
      <c r="E31" s="1"/>
      <c r="F31" s="1"/>
      <c r="G31" s="1"/>
      <c r="H31" s="1"/>
      <c r="I31" s="1"/>
      <c r="J31" s="1"/>
      <c r="K31" s="1"/>
      <c r="L31" s="1"/>
      <c r="M31" s="1"/>
      <c r="N31" s="1"/>
      <c r="O31" s="1"/>
      <c r="P31" s="8"/>
    </row>
    <row r="32" spans="1:16" ht="17.399999999999999" x14ac:dyDescent="0.3">
      <c r="A32" s="238"/>
      <c r="B32" s="308" t="s">
        <v>1108</v>
      </c>
      <c r="C32" s="309"/>
      <c r="D32" s="310" t="s">
        <v>1109</v>
      </c>
      <c r="E32" s="309"/>
      <c r="F32" s="309"/>
      <c r="G32" s="309"/>
      <c r="H32" s="309"/>
      <c r="I32" s="311"/>
      <c r="J32" s="311"/>
      <c r="K32" s="312"/>
      <c r="L32" s="311"/>
      <c r="M32" s="312"/>
      <c r="N32" s="312"/>
      <c r="O32" s="313"/>
      <c r="P32" s="8"/>
    </row>
    <row r="33" spans="1:16" x14ac:dyDescent="0.25">
      <c r="A33" s="238"/>
      <c r="B33" s="7"/>
      <c r="C33" s="1"/>
      <c r="D33" s="1"/>
      <c r="E33" s="1"/>
      <c r="F33" s="1"/>
      <c r="G33" s="1"/>
      <c r="H33" s="1"/>
      <c r="I33" s="1"/>
      <c r="J33" s="1"/>
      <c r="K33" s="1"/>
      <c r="L33" s="1"/>
      <c r="M33" s="1"/>
      <c r="N33" s="1"/>
      <c r="O33" s="1"/>
      <c r="P33" s="8"/>
    </row>
    <row r="34" spans="1:16" ht="18.600000000000001" x14ac:dyDescent="0.45">
      <c r="A34" s="244"/>
      <c r="B34" s="359" t="s">
        <v>1110</v>
      </c>
      <c r="C34" s="318"/>
      <c r="D34" s="318"/>
      <c r="E34" s="318"/>
      <c r="F34" s="318"/>
      <c r="G34" s="318"/>
      <c r="H34" s="318"/>
      <c r="I34" s="318"/>
      <c r="J34" s="318"/>
      <c r="K34" s="318"/>
      <c r="L34" s="318"/>
      <c r="M34" s="318"/>
      <c r="N34" s="318"/>
      <c r="O34" s="318"/>
      <c r="P34" s="245"/>
    </row>
    <row r="35" spans="1:16" ht="16.2" x14ac:dyDescent="0.4">
      <c r="A35" s="244"/>
      <c r="B35" s="319"/>
      <c r="C35" s="41"/>
      <c r="D35" s="41"/>
      <c r="E35" s="41"/>
      <c r="F35" s="41"/>
      <c r="G35" s="41"/>
      <c r="H35" s="41"/>
      <c r="I35" s="41"/>
      <c r="J35" s="41"/>
      <c r="K35" s="41"/>
      <c r="L35" s="41"/>
      <c r="M35" s="41"/>
      <c r="N35" s="246"/>
      <c r="O35" s="246"/>
      <c r="P35" s="247"/>
    </row>
    <row r="36" spans="1:16" x14ac:dyDescent="0.25">
      <c r="A36" s="244"/>
      <c r="B36" s="320"/>
      <c r="C36" s="321"/>
      <c r="D36" s="321"/>
      <c r="E36" s="321"/>
      <c r="F36" s="321"/>
      <c r="G36" s="321"/>
      <c r="H36" s="321"/>
      <c r="I36" s="322"/>
      <c r="J36" s="249"/>
      <c r="K36" s="25"/>
      <c r="L36" s="250"/>
      <c r="M36" s="251"/>
      <c r="N36" s="250"/>
      <c r="O36" s="250"/>
      <c r="P36" s="247"/>
    </row>
    <row r="37" spans="1:16" x14ac:dyDescent="0.25">
      <c r="A37" s="244"/>
      <c r="B37" s="320"/>
      <c r="C37" s="321"/>
      <c r="D37" s="321"/>
      <c r="E37" s="321"/>
      <c r="F37" s="321"/>
      <c r="G37" s="321"/>
      <c r="H37" s="321"/>
      <c r="I37" s="322"/>
      <c r="J37" s="249"/>
      <c r="K37" s="25"/>
      <c r="L37" s="250"/>
      <c r="M37" s="251"/>
      <c r="N37" s="250"/>
      <c r="O37" s="250"/>
      <c r="P37" s="247"/>
    </row>
    <row r="38" spans="1:16" x14ac:dyDescent="0.25">
      <c r="A38" s="244"/>
      <c r="B38" s="320"/>
      <c r="C38" s="321"/>
      <c r="D38" s="321"/>
      <c r="E38" s="321"/>
      <c r="F38" s="321"/>
      <c r="G38" s="321"/>
      <c r="H38" s="321"/>
      <c r="I38" s="322"/>
      <c r="J38" s="249"/>
      <c r="K38" s="25"/>
      <c r="L38" s="250"/>
      <c r="M38" s="251"/>
      <c r="N38" s="250"/>
      <c r="O38" s="250"/>
      <c r="P38" s="247"/>
    </row>
    <row r="39" spans="1:16" x14ac:dyDescent="0.25">
      <c r="A39" s="244"/>
      <c r="B39" s="323"/>
      <c r="C39" s="324"/>
      <c r="D39" s="324"/>
      <c r="E39" s="324"/>
      <c r="F39" s="324"/>
      <c r="G39" s="324"/>
      <c r="H39" s="324"/>
      <c r="I39" s="325"/>
      <c r="J39" s="249"/>
      <c r="K39" s="25"/>
      <c r="L39" s="250"/>
      <c r="M39" s="251"/>
      <c r="N39" s="250"/>
      <c r="O39" s="250"/>
      <c r="P39" s="247"/>
    </row>
    <row r="40" spans="1:16" x14ac:dyDescent="0.25">
      <c r="A40" s="252"/>
      <c r="B40" s="320"/>
      <c r="C40" s="321"/>
      <c r="D40" s="321"/>
      <c r="E40" s="321"/>
      <c r="F40" s="321"/>
      <c r="G40" s="321"/>
      <c r="H40" s="321"/>
      <c r="I40" s="322"/>
      <c r="J40" s="249"/>
      <c r="K40" s="25"/>
      <c r="L40" s="250"/>
      <c r="M40" s="251"/>
      <c r="N40" s="250"/>
      <c r="O40" s="250"/>
      <c r="P40" s="247"/>
    </row>
    <row r="41" spans="1:16" ht="16.2" x14ac:dyDescent="0.4">
      <c r="A41" s="252"/>
      <c r="B41" s="326"/>
      <c r="C41" s="327"/>
      <c r="D41" s="327"/>
      <c r="E41" s="327"/>
      <c r="F41" s="327"/>
      <c r="G41" s="327"/>
      <c r="H41" s="327"/>
      <c r="I41" s="328"/>
      <c r="J41" s="249"/>
      <c r="K41" s="25"/>
      <c r="L41" s="250"/>
      <c r="M41" s="251"/>
      <c r="N41" s="250"/>
      <c r="O41" s="250"/>
      <c r="P41" s="247"/>
    </row>
    <row r="42" spans="1:16" ht="16.2" x14ac:dyDescent="0.4">
      <c r="A42" s="252"/>
      <c r="B42" s="329"/>
      <c r="C42" s="330"/>
      <c r="D42" s="330"/>
      <c r="E42" s="330"/>
      <c r="F42" s="330"/>
      <c r="G42" s="330"/>
      <c r="H42" s="330"/>
      <c r="I42" s="331"/>
      <c r="J42" s="249"/>
      <c r="K42" s="25"/>
      <c r="L42" s="250"/>
      <c r="M42" s="251"/>
      <c r="N42" s="250"/>
      <c r="O42" s="250"/>
      <c r="P42" s="247"/>
    </row>
    <row r="43" spans="1:16" ht="16.2" x14ac:dyDescent="0.4">
      <c r="A43" s="252"/>
      <c r="B43" s="253"/>
      <c r="C43" s="254"/>
      <c r="D43" s="254"/>
      <c r="E43" s="254"/>
      <c r="F43" s="254"/>
      <c r="G43" s="254"/>
      <c r="H43" s="254"/>
      <c r="I43" s="254"/>
      <c r="J43" s="249"/>
      <c r="K43" s="25"/>
      <c r="L43" s="250"/>
      <c r="M43" s="255"/>
      <c r="N43" s="250"/>
      <c r="O43" s="250"/>
      <c r="P43" s="247"/>
    </row>
    <row r="44" spans="1:16" ht="16.2" x14ac:dyDescent="0.4">
      <c r="A44" s="252"/>
      <c r="B44" s="253"/>
      <c r="C44" s="254"/>
      <c r="D44" s="254"/>
      <c r="E44" s="254"/>
      <c r="F44" s="254"/>
      <c r="G44" s="254"/>
      <c r="H44" s="254"/>
      <c r="I44" s="254"/>
      <c r="J44" s="249"/>
      <c r="K44" s="25"/>
      <c r="L44" s="250"/>
      <c r="M44" s="256">
        <f>SUM(M36:M43)</f>
        <v>0</v>
      </c>
      <c r="N44" s="250"/>
      <c r="O44" s="250"/>
      <c r="P44" s="247"/>
    </row>
    <row r="45" spans="1:16" ht="16.2" x14ac:dyDescent="0.4">
      <c r="A45" s="252"/>
      <c r="B45" s="253"/>
      <c r="C45" s="254"/>
      <c r="D45" s="254"/>
      <c r="E45" s="254"/>
      <c r="F45" s="254"/>
      <c r="G45" s="254"/>
      <c r="H45" s="254"/>
      <c r="I45" s="254"/>
      <c r="J45" s="249"/>
      <c r="K45" s="25"/>
      <c r="L45" s="250"/>
      <c r="M45" s="255"/>
      <c r="N45" s="250"/>
      <c r="O45" s="250"/>
      <c r="P45" s="247"/>
    </row>
    <row r="46" spans="1:16" ht="16.8" x14ac:dyDescent="0.4">
      <c r="A46" s="244"/>
      <c r="B46" s="332"/>
      <c r="C46" s="333"/>
      <c r="D46" s="333"/>
      <c r="E46" s="333"/>
      <c r="F46" s="333"/>
      <c r="G46" s="333"/>
      <c r="H46" s="333"/>
      <c r="I46" s="333"/>
      <c r="J46" s="19"/>
      <c r="K46" s="19"/>
      <c r="L46" s="250"/>
      <c r="M46" s="250"/>
      <c r="N46" s="250"/>
      <c r="O46" s="314">
        <f>M44</f>
        <v>0</v>
      </c>
      <c r="P46" s="247"/>
    </row>
    <row r="47" spans="1:16" x14ac:dyDescent="0.25">
      <c r="A47" s="244"/>
      <c r="B47" s="257"/>
      <c r="C47" s="19"/>
      <c r="D47" s="249"/>
      <c r="E47" s="249"/>
      <c r="F47" s="249"/>
      <c r="G47" s="249"/>
      <c r="H47" s="249"/>
      <c r="I47" s="258"/>
      <c r="J47" s="258"/>
      <c r="K47" s="246"/>
      <c r="L47" s="258"/>
      <c r="M47" s="246"/>
      <c r="N47" s="246"/>
      <c r="O47" s="25" t="s">
        <v>1111</v>
      </c>
      <c r="P47" s="247"/>
    </row>
    <row r="48" spans="1:16" x14ac:dyDescent="0.25">
      <c r="A48" s="252"/>
      <c r="B48" s="259"/>
      <c r="C48" s="260"/>
      <c r="D48" s="259"/>
      <c r="E48" s="259"/>
      <c r="F48" s="259"/>
      <c r="G48" s="259"/>
      <c r="H48" s="259"/>
      <c r="I48" s="261"/>
      <c r="J48" s="261"/>
      <c r="K48" s="262"/>
      <c r="L48" s="261"/>
      <c r="M48" s="262"/>
      <c r="N48" s="262"/>
      <c r="O48" s="263"/>
      <c r="P48" s="259"/>
    </row>
    <row r="49" spans="1:16" x14ac:dyDescent="0.25">
      <c r="A49" s="252"/>
      <c r="B49" s="264"/>
      <c r="C49" s="265"/>
      <c r="D49" s="264"/>
      <c r="E49" s="264"/>
      <c r="F49" s="264"/>
      <c r="G49" s="264"/>
      <c r="H49" s="264"/>
      <c r="I49" s="266"/>
      <c r="J49" s="266"/>
      <c r="K49" s="267"/>
      <c r="L49" s="266"/>
      <c r="M49" s="267"/>
      <c r="N49" s="267"/>
      <c r="O49" s="268"/>
      <c r="P49" s="264"/>
    </row>
    <row r="50" spans="1:16" s="343" customFormat="1" ht="18.600000000000001" x14ac:dyDescent="0.45">
      <c r="A50" s="244"/>
      <c r="B50" s="359" t="s">
        <v>1112</v>
      </c>
      <c r="C50" s="360"/>
      <c r="D50" s="352"/>
      <c r="E50" s="352"/>
      <c r="F50" s="352"/>
      <c r="G50" s="352"/>
      <c r="H50" s="352"/>
      <c r="I50" s="361"/>
      <c r="J50" s="361"/>
      <c r="K50" s="362"/>
      <c r="L50" s="361"/>
      <c r="M50" s="362"/>
      <c r="N50" s="362"/>
      <c r="O50" s="362"/>
      <c r="P50" s="363"/>
    </row>
    <row r="51" spans="1:16" s="343" customFormat="1" ht="30" customHeight="1" x14ac:dyDescent="0.4">
      <c r="A51" s="244"/>
      <c r="B51" s="365" t="s">
        <v>1166</v>
      </c>
      <c r="C51" s="364"/>
      <c r="D51" s="364"/>
      <c r="E51" s="364"/>
      <c r="F51" s="364"/>
      <c r="G51" s="364"/>
      <c r="H51" s="364"/>
      <c r="I51" s="364"/>
      <c r="J51" s="364"/>
      <c r="K51" s="364"/>
      <c r="L51" s="364"/>
      <c r="M51" s="364"/>
      <c r="N51" s="362"/>
      <c r="O51" s="362"/>
      <c r="P51" s="363"/>
    </row>
    <row r="52" spans="1:16" ht="16.2" x14ac:dyDescent="0.4">
      <c r="A52" s="244"/>
      <c r="B52" s="366" t="s">
        <v>1168</v>
      </c>
      <c r="C52" s="41"/>
      <c r="D52" s="41"/>
      <c r="E52" s="41"/>
      <c r="F52" s="41"/>
      <c r="G52" s="41"/>
      <c r="H52" s="41"/>
      <c r="I52" s="41"/>
      <c r="J52" s="41"/>
      <c r="K52" s="41"/>
      <c r="L52" s="41"/>
      <c r="M52" s="41"/>
      <c r="N52" s="246"/>
      <c r="O52" s="246"/>
      <c r="P52" s="247"/>
    </row>
    <row r="53" spans="1:16" ht="16.2" x14ac:dyDescent="0.4">
      <c r="A53" s="244"/>
      <c r="B53" s="366" t="s">
        <v>1169</v>
      </c>
      <c r="C53" s="41"/>
      <c r="D53" s="41"/>
      <c r="E53" s="41"/>
      <c r="F53" s="41"/>
      <c r="G53" s="41"/>
      <c r="H53" s="41"/>
      <c r="I53" s="41"/>
      <c r="J53" s="41"/>
      <c r="K53" s="41"/>
      <c r="L53" s="41"/>
      <c r="M53" s="41"/>
      <c r="N53" s="246"/>
      <c r="O53" s="246"/>
      <c r="P53" s="247"/>
    </row>
    <row r="54" spans="1:16" ht="16.2" x14ac:dyDescent="0.4">
      <c r="A54" s="244"/>
      <c r="B54" s="366" t="s">
        <v>1167</v>
      </c>
      <c r="C54" s="41"/>
      <c r="D54" s="41"/>
      <c r="E54" s="41"/>
      <c r="F54" s="41"/>
      <c r="G54" s="41"/>
      <c r="H54" s="41"/>
      <c r="I54" s="41"/>
      <c r="J54" s="41"/>
      <c r="K54" s="41"/>
      <c r="L54" s="41"/>
      <c r="M54" s="41"/>
      <c r="N54" s="246"/>
      <c r="O54" s="246"/>
      <c r="P54" s="247"/>
    </row>
    <row r="55" spans="1:16" x14ac:dyDescent="0.25">
      <c r="A55" s="244"/>
      <c r="B55" s="257"/>
      <c r="C55" s="19"/>
      <c r="D55" s="249"/>
      <c r="E55" s="249"/>
      <c r="F55" s="249"/>
      <c r="G55" s="249"/>
      <c r="H55" s="249"/>
      <c r="I55" s="258"/>
      <c r="J55" s="258"/>
      <c r="K55" s="258"/>
      <c r="L55" s="258"/>
      <c r="M55" s="258"/>
      <c r="N55" s="250"/>
      <c r="O55" s="250"/>
      <c r="P55" s="247"/>
    </row>
    <row r="56" spans="1:16" ht="15.6" x14ac:dyDescent="0.3">
      <c r="A56" s="244"/>
      <c r="B56" s="248" t="s">
        <v>1113</v>
      </c>
      <c r="C56" s="19"/>
      <c r="D56" s="249"/>
      <c r="E56" s="249"/>
      <c r="F56" s="249"/>
      <c r="G56" s="249"/>
      <c r="H56" s="249"/>
      <c r="I56" s="258"/>
      <c r="J56" s="258"/>
      <c r="K56" s="258"/>
      <c r="L56" s="258"/>
      <c r="M56" s="250"/>
      <c r="N56" s="250"/>
      <c r="O56" s="250"/>
      <c r="P56" s="247"/>
    </row>
    <row r="57" spans="1:16" x14ac:dyDescent="0.25">
      <c r="A57" s="244"/>
      <c r="B57" s="335"/>
      <c r="C57" s="336"/>
      <c r="D57" s="336"/>
      <c r="E57" s="336"/>
      <c r="F57" s="336"/>
      <c r="G57" s="336"/>
      <c r="H57" s="336"/>
      <c r="I57" s="337"/>
      <c r="J57" s="258"/>
      <c r="K57" s="258"/>
      <c r="L57" s="258"/>
      <c r="M57" s="270"/>
      <c r="N57" s="250"/>
      <c r="O57" s="250"/>
      <c r="P57" s="247"/>
    </row>
    <row r="58" spans="1:16" x14ac:dyDescent="0.25">
      <c r="A58" s="244"/>
      <c r="B58" s="335"/>
      <c r="C58" s="336"/>
      <c r="D58" s="336"/>
      <c r="E58" s="336"/>
      <c r="F58" s="336"/>
      <c r="G58" s="336"/>
      <c r="H58" s="336"/>
      <c r="I58" s="337"/>
      <c r="J58" s="258"/>
      <c r="K58" s="258"/>
      <c r="L58" s="258"/>
      <c r="M58" s="270"/>
      <c r="N58" s="250"/>
      <c r="O58" s="250"/>
      <c r="P58" s="247"/>
    </row>
    <row r="59" spans="1:16" x14ac:dyDescent="0.25">
      <c r="A59" s="244"/>
      <c r="B59" s="335"/>
      <c r="C59" s="336"/>
      <c r="D59" s="336"/>
      <c r="E59" s="336"/>
      <c r="F59" s="336"/>
      <c r="G59" s="336"/>
      <c r="H59" s="336"/>
      <c r="I59" s="337"/>
      <c r="J59" s="258"/>
      <c r="K59" s="258"/>
      <c r="L59" s="258"/>
      <c r="M59" s="270"/>
      <c r="N59" s="250"/>
      <c r="O59" s="250"/>
      <c r="P59" s="247"/>
    </row>
    <row r="60" spans="1:16" x14ac:dyDescent="0.25">
      <c r="A60" s="244"/>
      <c r="B60" s="335"/>
      <c r="C60" s="336"/>
      <c r="D60" s="336"/>
      <c r="E60" s="336"/>
      <c r="F60" s="336"/>
      <c r="G60" s="336"/>
      <c r="H60" s="336"/>
      <c r="I60" s="337"/>
      <c r="J60" s="258"/>
      <c r="K60" s="258"/>
      <c r="L60" s="258"/>
      <c r="M60" s="270"/>
      <c r="N60" s="250"/>
      <c r="O60" s="250"/>
      <c r="P60" s="247"/>
    </row>
    <row r="61" spans="1:16" x14ac:dyDescent="0.25">
      <c r="A61" s="244"/>
      <c r="B61" s="335"/>
      <c r="C61" s="336"/>
      <c r="D61" s="336"/>
      <c r="E61" s="336"/>
      <c r="F61" s="336"/>
      <c r="G61" s="336"/>
      <c r="H61" s="336"/>
      <c r="I61" s="337"/>
      <c r="J61" s="258"/>
      <c r="K61" s="258"/>
      <c r="L61" s="258"/>
      <c r="M61" s="270"/>
      <c r="N61" s="250"/>
      <c r="O61" s="250"/>
      <c r="P61" s="247"/>
    </row>
    <row r="62" spans="1:16" x14ac:dyDescent="0.25">
      <c r="A62" s="244"/>
      <c r="B62" s="257"/>
      <c r="C62" s="19"/>
      <c r="D62" s="249"/>
      <c r="E62" s="249"/>
      <c r="F62" s="249"/>
      <c r="G62" s="249"/>
      <c r="H62" s="249"/>
      <c r="I62" s="258"/>
      <c r="J62" s="258"/>
      <c r="K62" s="258"/>
      <c r="L62" s="258"/>
      <c r="M62" s="258"/>
      <c r="N62" s="250"/>
      <c r="O62" s="250"/>
      <c r="P62" s="247"/>
    </row>
    <row r="63" spans="1:16" x14ac:dyDescent="0.25">
      <c r="A63" s="244"/>
      <c r="B63" s="257"/>
      <c r="C63" s="19"/>
      <c r="D63" s="19"/>
      <c r="E63" s="249"/>
      <c r="F63" s="249"/>
      <c r="G63" s="249"/>
      <c r="H63" s="249"/>
      <c r="I63" s="258"/>
      <c r="J63" s="258"/>
      <c r="K63" s="258"/>
      <c r="L63" s="258"/>
      <c r="M63" s="256">
        <f>SUM(M57:M62)</f>
        <v>0</v>
      </c>
      <c r="N63" s="258"/>
      <c r="O63" s="258"/>
      <c r="P63" s="247"/>
    </row>
    <row r="64" spans="1:16" x14ac:dyDescent="0.25">
      <c r="A64" s="244"/>
      <c r="B64" s="257"/>
      <c r="C64" s="19"/>
      <c r="D64" s="19"/>
      <c r="E64" s="249"/>
      <c r="F64" s="249"/>
      <c r="G64" s="249"/>
      <c r="H64" s="249"/>
      <c r="I64" s="258"/>
      <c r="J64" s="258"/>
      <c r="K64" s="258"/>
      <c r="L64" s="258"/>
      <c r="M64" s="258"/>
      <c r="N64" s="258"/>
      <c r="O64" s="258"/>
      <c r="P64" s="247"/>
    </row>
    <row r="65" spans="1:16" ht="15.6" x14ac:dyDescent="0.3">
      <c r="A65" s="244"/>
      <c r="B65" s="248" t="s">
        <v>1114</v>
      </c>
      <c r="C65" s="19"/>
      <c r="D65" s="249"/>
      <c r="E65" s="249"/>
      <c r="F65" s="249"/>
      <c r="G65" s="249"/>
      <c r="H65" s="249"/>
      <c r="I65" s="258"/>
      <c r="J65" s="258"/>
      <c r="K65" s="258"/>
      <c r="L65" s="258"/>
      <c r="M65" s="258"/>
      <c r="N65" s="258"/>
      <c r="O65" s="258"/>
      <c r="P65" s="247"/>
    </row>
    <row r="66" spans="1:16" x14ac:dyDescent="0.25">
      <c r="A66" s="244"/>
      <c r="B66" s="335"/>
      <c r="C66" s="336"/>
      <c r="D66" s="336"/>
      <c r="E66" s="336"/>
      <c r="F66" s="336"/>
      <c r="G66" s="336"/>
      <c r="H66" s="336"/>
      <c r="I66" s="337"/>
      <c r="J66" s="25"/>
      <c r="K66" s="258"/>
      <c r="L66" s="27"/>
      <c r="M66" s="270"/>
      <c r="N66" s="27"/>
      <c r="O66" s="27"/>
      <c r="P66" s="28"/>
    </row>
    <row r="67" spans="1:16" x14ac:dyDescent="0.25">
      <c r="A67" s="244"/>
      <c r="B67" s="335"/>
      <c r="C67" s="336"/>
      <c r="D67" s="336"/>
      <c r="E67" s="336"/>
      <c r="F67" s="336"/>
      <c r="G67" s="336"/>
      <c r="H67" s="336"/>
      <c r="I67" s="337"/>
      <c r="J67" s="258"/>
      <c r="K67" s="258"/>
      <c r="L67" s="258"/>
      <c r="M67" s="270"/>
      <c r="N67" s="258"/>
      <c r="O67" s="258"/>
      <c r="P67" s="247"/>
    </row>
    <row r="68" spans="1:16" x14ac:dyDescent="0.25">
      <c r="A68" s="244"/>
      <c r="B68" s="335"/>
      <c r="C68" s="336"/>
      <c r="D68" s="336"/>
      <c r="E68" s="336"/>
      <c r="F68" s="336"/>
      <c r="G68" s="336"/>
      <c r="H68" s="336"/>
      <c r="I68" s="337"/>
      <c r="J68" s="246"/>
      <c r="K68" s="258"/>
      <c r="L68" s="255"/>
      <c r="M68" s="270"/>
      <c r="N68" s="255"/>
      <c r="O68" s="255"/>
      <c r="P68" s="247"/>
    </row>
    <row r="69" spans="1:16" x14ac:dyDescent="0.25">
      <c r="A69" s="244"/>
      <c r="B69" s="257"/>
      <c r="C69" s="249"/>
      <c r="D69" s="249"/>
      <c r="E69" s="249"/>
      <c r="F69" s="249"/>
      <c r="G69" s="249"/>
      <c r="H69" s="249"/>
      <c r="I69" s="246"/>
      <c r="J69" s="246"/>
      <c r="K69" s="258"/>
      <c r="L69" s="255"/>
      <c r="M69" s="250"/>
      <c r="N69" s="255"/>
      <c r="O69" s="255"/>
      <c r="P69" s="247"/>
    </row>
    <row r="70" spans="1:16" x14ac:dyDescent="0.25">
      <c r="A70" s="244"/>
      <c r="B70" s="257"/>
      <c r="C70" s="249"/>
      <c r="D70" s="249"/>
      <c r="E70" s="249"/>
      <c r="F70" s="249"/>
      <c r="G70" s="249"/>
      <c r="H70" s="249"/>
      <c r="I70" s="19"/>
      <c r="J70" s="19"/>
      <c r="K70" s="258"/>
      <c r="L70" s="255"/>
      <c r="M70" s="256">
        <f>SUM(M66:M69)</f>
        <v>0</v>
      </c>
      <c r="N70" s="255"/>
      <c r="O70" s="255"/>
      <c r="P70" s="247"/>
    </row>
    <row r="71" spans="1:16" x14ac:dyDescent="0.25">
      <c r="A71" s="244"/>
      <c r="B71" s="257"/>
      <c r="C71" s="249"/>
      <c r="D71" s="249"/>
      <c r="E71" s="249"/>
      <c r="F71" s="249"/>
      <c r="G71" s="249"/>
      <c r="H71" s="249"/>
      <c r="I71" s="246"/>
      <c r="J71" s="246"/>
      <c r="K71" s="250"/>
      <c r="L71" s="255"/>
      <c r="M71" s="255"/>
      <c r="N71" s="255"/>
      <c r="O71" s="255"/>
      <c r="P71" s="247"/>
    </row>
    <row r="72" spans="1:16" ht="15.6" x14ac:dyDescent="0.3">
      <c r="A72" s="238"/>
      <c r="B72" s="7"/>
      <c r="C72" s="1"/>
      <c r="D72" s="20"/>
      <c r="E72" s="20"/>
      <c r="F72" s="20"/>
      <c r="G72" s="20"/>
      <c r="H72" s="20"/>
      <c r="I72" s="19"/>
      <c r="J72" s="19"/>
      <c r="K72" s="24"/>
      <c r="L72" s="21"/>
      <c r="M72" s="255"/>
      <c r="N72" s="255"/>
      <c r="O72" s="314">
        <f>M70+M63</f>
        <v>0</v>
      </c>
      <c r="P72" s="8"/>
    </row>
    <row r="73" spans="1:16" x14ac:dyDescent="0.25">
      <c r="A73" s="238"/>
      <c r="B73" s="32"/>
      <c r="C73" s="33"/>
      <c r="D73" s="33"/>
      <c r="E73" s="33"/>
      <c r="F73" s="33"/>
      <c r="G73" s="33"/>
      <c r="H73" s="33"/>
      <c r="I73" s="34"/>
      <c r="J73" s="34"/>
      <c r="K73" s="34"/>
      <c r="L73" s="34"/>
      <c r="M73" s="34"/>
      <c r="N73" s="34"/>
      <c r="O73" s="271" t="s">
        <v>1111</v>
      </c>
      <c r="P73" s="35"/>
    </row>
    <row r="74" spans="1:16" x14ac:dyDescent="0.25">
      <c r="A74" s="230"/>
      <c r="B74" s="1"/>
      <c r="C74" s="1"/>
      <c r="D74" s="1"/>
      <c r="E74" s="1"/>
      <c r="F74" s="1"/>
      <c r="G74" s="1"/>
      <c r="H74" s="1"/>
      <c r="I74" s="272"/>
      <c r="J74" s="272"/>
      <c r="K74" s="272"/>
      <c r="L74" s="272"/>
      <c r="M74" s="272"/>
      <c r="N74" s="272"/>
      <c r="O74" s="272"/>
      <c r="P74" s="1"/>
    </row>
    <row r="75" spans="1:16" ht="21" customHeight="1" x14ac:dyDescent="0.25">
      <c r="A75" s="230"/>
      <c r="B75" s="1"/>
      <c r="C75" s="1"/>
      <c r="D75" s="1"/>
      <c r="E75" s="1"/>
      <c r="F75" s="1"/>
      <c r="G75" s="1"/>
      <c r="H75" s="1"/>
      <c r="I75" s="272"/>
      <c r="J75" s="272"/>
      <c r="K75" s="272"/>
      <c r="L75" s="272"/>
      <c r="M75" s="272"/>
      <c r="N75" s="272"/>
      <c r="O75" s="272"/>
      <c r="P75" s="1"/>
    </row>
    <row r="76" spans="1:16" s="343" customFormat="1" ht="18.600000000000001" x14ac:dyDescent="0.45">
      <c r="A76" s="244"/>
      <c r="B76" s="367" t="s">
        <v>1171</v>
      </c>
      <c r="C76" s="368"/>
      <c r="D76" s="368"/>
      <c r="E76" s="368"/>
      <c r="F76" s="368"/>
      <c r="G76" s="368"/>
      <c r="H76" s="368"/>
      <c r="I76" s="368"/>
      <c r="J76" s="368"/>
      <c r="K76" s="368"/>
      <c r="L76" s="368"/>
      <c r="M76" s="368"/>
      <c r="N76" s="368"/>
      <c r="O76" s="368"/>
      <c r="P76" s="369"/>
    </row>
    <row r="77" spans="1:16" s="343" customFormat="1" ht="18.600000000000001" x14ac:dyDescent="0.45">
      <c r="A77" s="244"/>
      <c r="B77" s="359" t="s">
        <v>1170</v>
      </c>
      <c r="C77" s="370"/>
      <c r="D77" s="370"/>
      <c r="E77" s="370"/>
      <c r="F77" s="370"/>
      <c r="G77" s="370"/>
      <c r="H77" s="370"/>
      <c r="I77" s="370"/>
      <c r="J77" s="370"/>
      <c r="K77" s="370"/>
      <c r="L77" s="370"/>
      <c r="M77" s="370"/>
      <c r="N77" s="370"/>
      <c r="O77" s="370"/>
      <c r="P77" s="371"/>
    </row>
    <row r="78" spans="1:16" s="343" customFormat="1" ht="8.25" customHeight="1" x14ac:dyDescent="0.45">
      <c r="A78" s="244"/>
      <c r="B78" s="359"/>
      <c r="C78" s="370"/>
      <c r="D78" s="370"/>
      <c r="E78" s="370"/>
      <c r="F78" s="370"/>
      <c r="G78" s="370"/>
      <c r="H78" s="370"/>
      <c r="I78" s="370"/>
      <c r="J78" s="370"/>
      <c r="K78" s="370"/>
      <c r="L78" s="370"/>
      <c r="M78" s="370"/>
      <c r="N78" s="370"/>
      <c r="O78" s="370"/>
      <c r="P78" s="371"/>
    </row>
    <row r="79" spans="1:16" s="343" customFormat="1" ht="12.75" customHeight="1" x14ac:dyDescent="0.4">
      <c r="A79" s="244"/>
      <c r="B79" s="365" t="s">
        <v>1173</v>
      </c>
      <c r="C79" s="364"/>
      <c r="D79" s="364"/>
      <c r="E79" s="364"/>
      <c r="F79" s="364"/>
      <c r="G79" s="364"/>
      <c r="H79" s="364"/>
      <c r="I79" s="364"/>
      <c r="J79" s="364"/>
      <c r="K79" s="364"/>
      <c r="L79" s="364"/>
      <c r="M79" s="364"/>
      <c r="N79" s="362"/>
      <c r="O79" s="362"/>
      <c r="P79" s="363"/>
    </row>
    <row r="80" spans="1:16" ht="16.2" x14ac:dyDescent="0.4">
      <c r="A80" s="244"/>
      <c r="B80" s="366" t="s">
        <v>1174</v>
      </c>
      <c r="C80" s="41"/>
      <c r="D80" s="41"/>
      <c r="E80" s="41"/>
      <c r="F80" s="41"/>
      <c r="G80" s="41"/>
      <c r="H80" s="41"/>
      <c r="I80" s="41"/>
      <c r="J80" s="41"/>
      <c r="K80" s="41"/>
      <c r="L80" s="41"/>
      <c r="M80" s="41"/>
      <c r="N80" s="246"/>
      <c r="O80" s="246"/>
      <c r="P80" s="247"/>
    </row>
    <row r="81" spans="1:16" ht="16.2" x14ac:dyDescent="0.4">
      <c r="A81" s="244"/>
      <c r="B81" s="366" t="s">
        <v>1175</v>
      </c>
      <c r="C81" s="41"/>
      <c r="D81" s="41"/>
      <c r="E81" s="41"/>
      <c r="F81" s="41"/>
      <c r="G81" s="41"/>
      <c r="H81" s="41"/>
      <c r="I81" s="41"/>
      <c r="J81" s="41"/>
      <c r="K81" s="41"/>
      <c r="L81" s="41"/>
      <c r="M81" s="41"/>
      <c r="N81" s="246"/>
      <c r="O81" s="246"/>
      <c r="P81" s="247"/>
    </row>
    <row r="82" spans="1:16" ht="12.75" customHeight="1" x14ac:dyDescent="0.4">
      <c r="A82" s="244"/>
      <c r="B82" s="366" t="s">
        <v>1167</v>
      </c>
      <c r="C82" s="41"/>
      <c r="D82" s="41"/>
      <c r="E82" s="41"/>
      <c r="F82" s="41"/>
      <c r="G82" s="41"/>
      <c r="H82" s="41"/>
      <c r="I82" s="41"/>
      <c r="J82" s="41"/>
      <c r="K82" s="41"/>
      <c r="L82" s="41"/>
      <c r="M82" s="41"/>
      <c r="N82" s="246"/>
      <c r="O82" s="246"/>
      <c r="P82" s="247"/>
    </row>
    <row r="83" spans="1:16" x14ac:dyDescent="0.25">
      <c r="A83" s="244"/>
      <c r="B83" s="334"/>
      <c r="C83" s="41"/>
      <c r="D83" s="41"/>
      <c r="E83" s="41"/>
      <c r="F83" s="41"/>
      <c r="G83" s="41"/>
      <c r="H83" s="41"/>
      <c r="I83" s="41"/>
      <c r="J83" s="41"/>
      <c r="K83" s="41"/>
      <c r="L83" s="41"/>
      <c r="M83" s="41"/>
      <c r="N83" s="246"/>
      <c r="O83" s="246"/>
      <c r="P83" s="247"/>
    </row>
    <row r="84" spans="1:16" x14ac:dyDescent="0.25">
      <c r="A84" s="244"/>
      <c r="B84" s="257"/>
      <c r="C84" s="249"/>
      <c r="D84" s="19"/>
      <c r="E84" s="249"/>
      <c r="F84" s="249"/>
      <c r="G84" s="249"/>
      <c r="H84" s="249"/>
      <c r="I84" s="249"/>
      <c r="J84" s="249"/>
      <c r="K84" s="273" t="s">
        <v>1116</v>
      </c>
      <c r="L84" s="25"/>
      <c r="M84" s="25" t="s">
        <v>3</v>
      </c>
      <c r="N84" s="25"/>
      <c r="O84" s="25" t="s">
        <v>3</v>
      </c>
      <c r="P84" s="274"/>
    </row>
    <row r="85" spans="1:16" ht="15.6" x14ac:dyDescent="0.3">
      <c r="A85" s="244"/>
      <c r="B85" s="248" t="s">
        <v>1117</v>
      </c>
      <c r="C85" s="249"/>
      <c r="D85" s="249"/>
      <c r="E85" s="249"/>
      <c r="F85" s="249"/>
      <c r="G85" s="249"/>
      <c r="H85" s="249"/>
      <c r="I85" s="249"/>
      <c r="J85" s="249"/>
      <c r="K85" s="275" t="s">
        <v>1118</v>
      </c>
      <c r="L85" s="249"/>
      <c r="M85" s="249"/>
      <c r="N85" s="249"/>
      <c r="O85" s="249"/>
      <c r="P85" s="247"/>
    </row>
    <row r="86" spans="1:16" x14ac:dyDescent="0.25">
      <c r="A86" s="244"/>
      <c r="B86" s="335"/>
      <c r="C86" s="336"/>
      <c r="D86" s="336"/>
      <c r="E86" s="336"/>
      <c r="F86" s="336"/>
      <c r="G86" s="336"/>
      <c r="H86" s="336"/>
      <c r="I86" s="337"/>
      <c r="J86" s="249"/>
      <c r="K86" s="276"/>
      <c r="L86" s="250"/>
      <c r="M86" s="270"/>
      <c r="N86" s="250"/>
      <c r="O86" s="250"/>
      <c r="P86" s="277"/>
    </row>
    <row r="87" spans="1:16" x14ac:dyDescent="0.25">
      <c r="A87" s="244"/>
      <c r="B87" s="335"/>
      <c r="C87" s="336"/>
      <c r="D87" s="336"/>
      <c r="E87" s="336"/>
      <c r="F87" s="336"/>
      <c r="G87" s="336"/>
      <c r="H87" s="336"/>
      <c r="I87" s="337"/>
      <c r="J87" s="249"/>
      <c r="K87" s="276"/>
      <c r="L87" s="250"/>
      <c r="M87" s="270"/>
      <c r="N87" s="250"/>
      <c r="O87" s="250"/>
      <c r="P87" s="277"/>
    </row>
    <row r="88" spans="1:16" x14ac:dyDescent="0.25">
      <c r="A88" s="244"/>
      <c r="B88" s="335"/>
      <c r="C88" s="336"/>
      <c r="D88" s="336"/>
      <c r="E88" s="336"/>
      <c r="F88" s="336"/>
      <c r="G88" s="336"/>
      <c r="H88" s="336"/>
      <c r="I88" s="337"/>
      <c r="J88" s="249"/>
      <c r="K88" s="276"/>
      <c r="L88" s="250"/>
      <c r="M88" s="270"/>
      <c r="N88" s="250"/>
      <c r="O88" s="250"/>
      <c r="P88" s="277"/>
    </row>
    <row r="89" spans="1:16" x14ac:dyDescent="0.25">
      <c r="A89" s="244"/>
      <c r="B89" s="335"/>
      <c r="C89" s="336"/>
      <c r="D89" s="336"/>
      <c r="E89" s="336"/>
      <c r="F89" s="336"/>
      <c r="G89" s="336"/>
      <c r="H89" s="336"/>
      <c r="I89" s="337"/>
      <c r="J89" s="249"/>
      <c r="K89" s="276"/>
      <c r="L89" s="250"/>
      <c r="M89" s="270"/>
      <c r="N89" s="250"/>
      <c r="O89" s="250"/>
      <c r="P89" s="277"/>
    </row>
    <row r="90" spans="1:16" x14ac:dyDescent="0.25">
      <c r="A90" s="244"/>
      <c r="B90" s="335"/>
      <c r="C90" s="336"/>
      <c r="D90" s="336"/>
      <c r="E90" s="336"/>
      <c r="F90" s="336"/>
      <c r="G90" s="336"/>
      <c r="H90" s="336"/>
      <c r="I90" s="337"/>
      <c r="J90" s="249"/>
      <c r="K90" s="276"/>
      <c r="L90" s="250"/>
      <c r="M90" s="270"/>
      <c r="N90" s="250"/>
      <c r="O90" s="250"/>
      <c r="P90" s="277"/>
    </row>
    <row r="91" spans="1:16" ht="6.75" customHeight="1" x14ac:dyDescent="0.25">
      <c r="A91" s="244"/>
      <c r="B91" s="257"/>
      <c r="C91" s="249"/>
      <c r="D91" s="249"/>
      <c r="E91" s="249"/>
      <c r="F91" s="249"/>
      <c r="G91" s="249"/>
      <c r="H91" s="249"/>
      <c r="I91" s="249"/>
      <c r="J91" s="249"/>
      <c r="K91" s="278"/>
      <c r="L91" s="250"/>
      <c r="M91" s="250"/>
      <c r="N91" s="250"/>
      <c r="O91" s="250"/>
      <c r="P91" s="277"/>
    </row>
    <row r="92" spans="1:16" x14ac:dyDescent="0.25">
      <c r="A92" s="244"/>
      <c r="B92" s="257"/>
      <c r="C92" s="249"/>
      <c r="D92" s="249"/>
      <c r="E92" s="249"/>
      <c r="F92" s="249"/>
      <c r="G92" s="249"/>
      <c r="H92" s="249"/>
      <c r="I92" s="249"/>
      <c r="J92" s="249"/>
      <c r="K92" s="278"/>
      <c r="L92" s="250"/>
      <c r="M92" s="256">
        <f>SUM(M86:M91)</f>
        <v>0</v>
      </c>
      <c r="N92" s="255"/>
      <c r="O92" s="250"/>
      <c r="P92" s="277"/>
    </row>
    <row r="93" spans="1:16" ht="0.75" customHeight="1" x14ac:dyDescent="0.25">
      <c r="A93" s="244"/>
      <c r="B93" s="257"/>
      <c r="C93" s="249"/>
      <c r="D93" s="249"/>
      <c r="E93" s="249"/>
      <c r="F93" s="249"/>
      <c r="G93" s="249"/>
      <c r="H93" s="249"/>
      <c r="I93" s="249"/>
      <c r="J93" s="249"/>
      <c r="K93" s="279"/>
      <c r="L93" s="250"/>
      <c r="M93" s="255"/>
      <c r="N93" s="255"/>
      <c r="O93" s="250"/>
      <c r="P93" s="277"/>
    </row>
    <row r="94" spans="1:16" ht="15.6" x14ac:dyDescent="0.3">
      <c r="A94" s="244"/>
      <c r="B94" s="248" t="s">
        <v>1119</v>
      </c>
      <c r="C94" s="249"/>
      <c r="D94" s="249"/>
      <c r="E94" s="249"/>
      <c r="F94" s="249"/>
      <c r="G94" s="249"/>
      <c r="H94" s="249"/>
      <c r="I94" s="249"/>
      <c r="J94" s="249"/>
      <c r="K94" s="278"/>
      <c r="L94" s="250"/>
      <c r="M94" s="249"/>
      <c r="N94" s="249"/>
      <c r="O94" s="250"/>
      <c r="P94" s="277"/>
    </row>
    <row r="95" spans="1:16" x14ac:dyDescent="0.25">
      <c r="A95" s="244"/>
      <c r="B95" s="335"/>
      <c r="C95" s="336"/>
      <c r="D95" s="336"/>
      <c r="E95" s="336"/>
      <c r="F95" s="336"/>
      <c r="G95" s="336"/>
      <c r="H95" s="336"/>
      <c r="I95" s="337"/>
      <c r="J95" s="249"/>
      <c r="K95" s="276"/>
      <c r="L95" s="250"/>
      <c r="M95" s="270"/>
      <c r="N95" s="250"/>
      <c r="O95" s="250"/>
      <c r="P95" s="277"/>
    </row>
    <row r="96" spans="1:16" x14ac:dyDescent="0.25">
      <c r="A96" s="244"/>
      <c r="B96" s="335"/>
      <c r="C96" s="336"/>
      <c r="D96" s="336"/>
      <c r="E96" s="336"/>
      <c r="F96" s="336"/>
      <c r="G96" s="336"/>
      <c r="H96" s="336"/>
      <c r="I96" s="337"/>
      <c r="J96" s="249"/>
      <c r="K96" s="276"/>
      <c r="L96" s="250"/>
      <c r="M96" s="270"/>
      <c r="N96" s="250"/>
      <c r="O96" s="250"/>
      <c r="P96" s="277"/>
    </row>
    <row r="97" spans="1:16" x14ac:dyDescent="0.25">
      <c r="A97" s="244"/>
      <c r="B97" s="335"/>
      <c r="C97" s="336"/>
      <c r="D97" s="336"/>
      <c r="E97" s="336"/>
      <c r="F97" s="336"/>
      <c r="G97" s="336"/>
      <c r="H97" s="336"/>
      <c r="I97" s="337"/>
      <c r="J97" s="249"/>
      <c r="K97" s="276"/>
      <c r="L97" s="250"/>
      <c r="M97" s="270"/>
      <c r="N97" s="250"/>
      <c r="O97" s="250"/>
      <c r="P97" s="277"/>
    </row>
    <row r="98" spans="1:16" x14ac:dyDescent="0.25">
      <c r="A98" s="244"/>
      <c r="B98" s="335"/>
      <c r="C98" s="336"/>
      <c r="D98" s="336"/>
      <c r="E98" s="336"/>
      <c r="F98" s="336"/>
      <c r="G98" s="336"/>
      <c r="H98" s="336"/>
      <c r="I98" s="337"/>
      <c r="J98" s="249"/>
      <c r="K98" s="276"/>
      <c r="L98" s="250"/>
      <c r="M98" s="270"/>
      <c r="N98" s="250"/>
      <c r="O98" s="250"/>
      <c r="P98" s="277"/>
    </row>
    <row r="99" spans="1:16" x14ac:dyDescent="0.25">
      <c r="A99" s="244"/>
      <c r="B99" s="335"/>
      <c r="C99" s="336"/>
      <c r="D99" s="336"/>
      <c r="E99" s="336"/>
      <c r="F99" s="336"/>
      <c r="G99" s="336"/>
      <c r="H99" s="336"/>
      <c r="I99" s="337"/>
      <c r="J99" s="249"/>
      <c r="K99" s="276"/>
      <c r="L99" s="250"/>
      <c r="M99" s="270"/>
      <c r="N99" s="250"/>
      <c r="O99" s="250"/>
      <c r="P99" s="277"/>
    </row>
    <row r="100" spans="1:16" ht="6" customHeight="1" x14ac:dyDescent="0.25">
      <c r="A100" s="244"/>
      <c r="B100" s="257"/>
      <c r="C100" s="249"/>
      <c r="D100" s="249"/>
      <c r="E100" s="249"/>
      <c r="F100" s="249"/>
      <c r="G100" s="249"/>
      <c r="H100" s="249"/>
      <c r="I100" s="249"/>
      <c r="J100" s="249"/>
      <c r="K100" s="278"/>
      <c r="L100" s="250"/>
      <c r="M100" s="250"/>
      <c r="N100" s="250"/>
      <c r="O100" s="250"/>
      <c r="P100" s="277"/>
    </row>
    <row r="101" spans="1:16" ht="14.25" customHeight="1" x14ac:dyDescent="0.25">
      <c r="A101" s="244"/>
      <c r="B101" s="257"/>
      <c r="C101" s="249"/>
      <c r="D101" s="249"/>
      <c r="E101" s="249"/>
      <c r="F101" s="249"/>
      <c r="G101" s="249"/>
      <c r="H101" s="249"/>
      <c r="I101" s="249"/>
      <c r="J101" s="249"/>
      <c r="K101" s="278"/>
      <c r="L101" s="250"/>
      <c r="M101" s="256">
        <f>SUM(M95:M99)</f>
        <v>0</v>
      </c>
      <c r="N101" s="255"/>
      <c r="O101" s="250"/>
      <c r="P101" s="277"/>
    </row>
    <row r="102" spans="1:16" ht="7.5" customHeight="1" x14ac:dyDescent="0.25">
      <c r="A102" s="244"/>
      <c r="B102" s="257"/>
      <c r="C102" s="249"/>
      <c r="D102" s="249"/>
      <c r="E102" s="249"/>
      <c r="F102" s="249"/>
      <c r="G102" s="249"/>
      <c r="H102" s="249"/>
      <c r="I102" s="249"/>
      <c r="J102" s="249"/>
      <c r="K102" s="279"/>
      <c r="L102" s="250"/>
      <c r="M102" s="255"/>
      <c r="N102" s="255"/>
      <c r="O102" s="250"/>
      <c r="P102" s="277"/>
    </row>
    <row r="103" spans="1:16" ht="15.6" x14ac:dyDescent="0.3">
      <c r="A103" s="244"/>
      <c r="B103" s="248" t="s">
        <v>1120</v>
      </c>
      <c r="C103" s="249"/>
      <c r="D103" s="249"/>
      <c r="E103" s="249"/>
      <c r="F103" s="249"/>
      <c r="G103" s="249"/>
      <c r="H103" s="249"/>
      <c r="I103" s="249"/>
      <c r="J103" s="249"/>
      <c r="K103" s="278"/>
      <c r="L103" s="250"/>
      <c r="M103" s="249"/>
      <c r="N103" s="249"/>
      <c r="O103" s="250"/>
      <c r="P103" s="277"/>
    </row>
    <row r="104" spans="1:16" x14ac:dyDescent="0.25">
      <c r="A104" s="244"/>
      <c r="B104" s="335"/>
      <c r="C104" s="336"/>
      <c r="D104" s="336"/>
      <c r="E104" s="336"/>
      <c r="F104" s="336"/>
      <c r="G104" s="336"/>
      <c r="H104" s="336"/>
      <c r="I104" s="337"/>
      <c r="J104" s="249"/>
      <c r="K104" s="276"/>
      <c r="L104" s="250"/>
      <c r="M104" s="270"/>
      <c r="N104" s="250"/>
      <c r="O104" s="250"/>
      <c r="P104" s="277"/>
    </row>
    <row r="105" spans="1:16" x14ac:dyDescent="0.25">
      <c r="A105" s="244"/>
      <c r="B105" s="335"/>
      <c r="C105" s="336"/>
      <c r="D105" s="336"/>
      <c r="E105" s="336"/>
      <c r="F105" s="336"/>
      <c r="G105" s="336"/>
      <c r="H105" s="336"/>
      <c r="I105" s="337"/>
      <c r="J105" s="249"/>
      <c r="K105" s="276"/>
      <c r="L105" s="250"/>
      <c r="M105" s="270"/>
      <c r="N105" s="250"/>
      <c r="O105" s="250"/>
      <c r="P105" s="277"/>
    </row>
    <row r="106" spans="1:16" x14ac:dyDescent="0.25">
      <c r="A106" s="244"/>
      <c r="B106" s="335"/>
      <c r="C106" s="336"/>
      <c r="D106" s="336"/>
      <c r="E106" s="336"/>
      <c r="F106" s="336"/>
      <c r="G106" s="336"/>
      <c r="H106" s="336"/>
      <c r="I106" s="337"/>
      <c r="J106" s="249"/>
      <c r="K106" s="276"/>
      <c r="L106" s="250"/>
      <c r="M106" s="270"/>
      <c r="N106" s="250"/>
      <c r="O106" s="250"/>
      <c r="P106" s="277"/>
    </row>
    <row r="107" spans="1:16" ht="6" customHeight="1" x14ac:dyDescent="0.25">
      <c r="A107" s="244"/>
      <c r="B107" s="257"/>
      <c r="C107" s="249"/>
      <c r="D107" s="249"/>
      <c r="E107" s="249"/>
      <c r="F107" s="249"/>
      <c r="G107" s="249"/>
      <c r="H107" s="249"/>
      <c r="I107" s="249"/>
      <c r="J107" s="249"/>
      <c r="K107" s="278"/>
      <c r="L107" s="250"/>
      <c r="M107" s="250"/>
      <c r="N107" s="250"/>
      <c r="O107" s="250"/>
      <c r="P107" s="277"/>
    </row>
    <row r="108" spans="1:16" x14ac:dyDescent="0.25">
      <c r="A108" s="244"/>
      <c r="B108" s="257"/>
      <c r="C108" s="249"/>
      <c r="D108" s="249"/>
      <c r="E108" s="249"/>
      <c r="F108" s="249"/>
      <c r="G108" s="249"/>
      <c r="H108" s="249"/>
      <c r="I108" s="249"/>
      <c r="J108" s="249"/>
      <c r="K108" s="278"/>
      <c r="L108" s="250"/>
      <c r="M108" s="256">
        <f>SUM(M104:M106)</f>
        <v>0</v>
      </c>
      <c r="N108" s="255"/>
      <c r="O108" s="250"/>
      <c r="P108" s="277"/>
    </row>
    <row r="109" spans="1:16" ht="8.25" customHeight="1" x14ac:dyDescent="0.25">
      <c r="A109" s="244"/>
      <c r="B109" s="257"/>
      <c r="C109" s="249"/>
      <c r="D109" s="249"/>
      <c r="E109" s="249"/>
      <c r="F109" s="249"/>
      <c r="G109" s="249"/>
      <c r="H109" s="249"/>
      <c r="I109" s="249"/>
      <c r="J109" s="249"/>
      <c r="K109" s="279"/>
      <c r="L109" s="250"/>
      <c r="M109" s="255"/>
      <c r="N109" s="255"/>
      <c r="O109" s="250"/>
      <c r="P109" s="277"/>
    </row>
    <row r="110" spans="1:16" x14ac:dyDescent="0.25">
      <c r="A110" s="244"/>
      <c r="B110" s="257"/>
      <c r="C110" s="249"/>
      <c r="D110" s="249"/>
      <c r="E110" s="249"/>
      <c r="F110" s="249"/>
      <c r="G110" s="249"/>
      <c r="H110" s="249"/>
      <c r="I110" s="249"/>
      <c r="J110" s="249"/>
      <c r="K110" s="255"/>
      <c r="L110" s="250"/>
      <c r="M110" s="255"/>
      <c r="N110" s="255"/>
      <c r="O110" s="250"/>
      <c r="P110" s="277"/>
    </row>
    <row r="111" spans="1:16" ht="15.6" x14ac:dyDescent="0.3">
      <c r="A111" s="244"/>
      <c r="B111" s="257"/>
      <c r="C111" s="249"/>
      <c r="D111" s="249"/>
      <c r="E111" s="249"/>
      <c r="F111" s="249"/>
      <c r="G111" s="249"/>
      <c r="H111" s="249"/>
      <c r="I111" s="19"/>
      <c r="J111" s="19"/>
      <c r="K111" s="255"/>
      <c r="L111" s="21"/>
      <c r="M111" s="24"/>
      <c r="N111" s="24"/>
      <c r="O111" s="314">
        <f>M108+M101+M92</f>
        <v>0</v>
      </c>
      <c r="P111" s="277"/>
    </row>
    <row r="112" spans="1:16" x14ac:dyDescent="0.25">
      <c r="A112" s="238"/>
      <c r="B112" s="32"/>
      <c r="C112" s="33"/>
      <c r="D112" s="33"/>
      <c r="E112" s="33"/>
      <c r="F112" s="33"/>
      <c r="G112" s="33"/>
      <c r="H112" s="33"/>
      <c r="I112" s="34"/>
      <c r="J112" s="34"/>
      <c r="K112" s="34"/>
      <c r="L112" s="34"/>
      <c r="M112" s="34"/>
      <c r="N112" s="34"/>
      <c r="O112" s="271" t="s">
        <v>1111</v>
      </c>
      <c r="P112" s="35"/>
    </row>
    <row r="113" spans="1:16" x14ac:dyDescent="0.25">
      <c r="A113" s="230"/>
      <c r="B113" s="1"/>
      <c r="C113" s="1"/>
      <c r="D113" s="1"/>
      <c r="E113" s="1"/>
      <c r="F113" s="1"/>
      <c r="G113" s="1"/>
      <c r="H113" s="1"/>
      <c r="I113" s="1"/>
      <c r="J113" s="1"/>
      <c r="K113" s="1"/>
      <c r="L113" s="1"/>
      <c r="M113" s="1"/>
      <c r="N113" s="1"/>
      <c r="O113" s="1"/>
      <c r="P113" s="1"/>
    </row>
    <row r="114" spans="1:16" x14ac:dyDescent="0.25">
      <c r="A114" s="230"/>
      <c r="B114" s="1"/>
      <c r="C114" s="1"/>
      <c r="D114" s="1"/>
      <c r="E114" s="1"/>
      <c r="F114" s="1"/>
      <c r="G114" s="1"/>
      <c r="H114" s="1"/>
      <c r="I114" s="1"/>
      <c r="J114" s="1"/>
      <c r="K114" s="1"/>
      <c r="L114" s="1"/>
      <c r="M114" s="1"/>
      <c r="N114" s="1"/>
      <c r="O114" s="1"/>
      <c r="P114" s="1"/>
    </row>
    <row r="115" spans="1:16" x14ac:dyDescent="0.25">
      <c r="A115" s="238"/>
      <c r="B115" s="372"/>
      <c r="C115" s="373"/>
      <c r="D115" s="373"/>
      <c r="E115" s="240"/>
      <c r="F115" s="240"/>
      <c r="G115" s="240"/>
      <c r="H115" s="240"/>
      <c r="I115" s="240"/>
      <c r="J115" s="240"/>
      <c r="K115" s="240"/>
      <c r="L115" s="240"/>
      <c r="M115" s="240"/>
      <c r="N115" s="240"/>
      <c r="O115" s="240"/>
      <c r="P115" s="241"/>
    </row>
    <row r="116" spans="1:16" ht="14.25" customHeight="1" x14ac:dyDescent="0.4">
      <c r="A116" s="244"/>
      <c r="B116" s="374" t="s">
        <v>1145</v>
      </c>
      <c r="C116" s="375"/>
      <c r="D116" s="375"/>
      <c r="E116" s="42"/>
      <c r="F116" s="42"/>
      <c r="G116" s="42"/>
      <c r="H116" s="42"/>
      <c r="I116" s="42"/>
      <c r="J116" s="42"/>
      <c r="K116" s="42"/>
      <c r="L116" s="42"/>
      <c r="M116" s="42"/>
      <c r="N116" s="42"/>
      <c r="O116" s="42"/>
      <c r="P116" s="31"/>
    </row>
    <row r="117" spans="1:16" ht="12.75" customHeight="1" x14ac:dyDescent="0.4">
      <c r="A117" s="244"/>
      <c r="B117" s="365" t="s">
        <v>1205</v>
      </c>
      <c r="C117" s="364"/>
      <c r="D117" s="364"/>
      <c r="E117" s="41"/>
      <c r="F117" s="41"/>
      <c r="G117" s="41"/>
      <c r="H117" s="41"/>
      <c r="I117" s="41"/>
      <c r="J117" s="41"/>
      <c r="K117" s="41"/>
      <c r="L117" s="41"/>
      <c r="M117" s="41"/>
      <c r="N117" s="246"/>
      <c r="O117" s="246"/>
      <c r="P117" s="247"/>
    </row>
    <row r="118" spans="1:16" ht="16.2" x14ac:dyDescent="0.4">
      <c r="A118" s="244"/>
      <c r="B118" s="366" t="s">
        <v>1490</v>
      </c>
      <c r="C118" s="364"/>
      <c r="D118" s="364"/>
      <c r="E118" s="41"/>
      <c r="F118" s="41"/>
      <c r="G118" s="41"/>
      <c r="H118" s="41"/>
      <c r="I118" s="41"/>
      <c r="J118" s="41"/>
      <c r="K118" s="41"/>
      <c r="L118" s="41"/>
      <c r="M118" s="41"/>
      <c r="N118" s="246"/>
      <c r="O118" s="246"/>
      <c r="P118" s="247"/>
    </row>
    <row r="119" spans="1:16" ht="16.2" x14ac:dyDescent="0.4">
      <c r="A119" s="244"/>
      <c r="B119" s="366" t="s">
        <v>1176</v>
      </c>
      <c r="C119" s="364"/>
      <c r="D119" s="364"/>
      <c r="E119" s="41"/>
      <c r="F119" s="41"/>
      <c r="G119" s="41"/>
      <c r="H119" s="41"/>
      <c r="I119" s="41"/>
      <c r="J119" s="41"/>
      <c r="K119" s="41"/>
      <c r="L119" s="41"/>
      <c r="M119" s="41"/>
      <c r="N119" s="246"/>
      <c r="O119" s="246"/>
      <c r="P119" s="247"/>
    </row>
    <row r="120" spans="1:16" ht="16.2" x14ac:dyDescent="0.4">
      <c r="A120" s="244"/>
      <c r="B120" s="366" t="s">
        <v>1177</v>
      </c>
      <c r="C120" s="364"/>
      <c r="D120" s="364"/>
      <c r="E120" s="41"/>
      <c r="F120" s="41"/>
      <c r="G120" s="41"/>
      <c r="H120" s="41"/>
      <c r="I120" s="41"/>
      <c r="J120" s="41"/>
      <c r="K120" s="41"/>
      <c r="L120" s="41"/>
      <c r="M120" s="41"/>
      <c r="N120" s="246"/>
      <c r="O120" s="246"/>
      <c r="P120" s="247"/>
    </row>
    <row r="121" spans="1:16" ht="16.2" x14ac:dyDescent="0.4">
      <c r="A121" s="244"/>
      <c r="B121" s="366" t="s">
        <v>1167</v>
      </c>
      <c r="C121" s="364"/>
      <c r="D121" s="364"/>
      <c r="E121" s="41"/>
      <c r="F121" s="41"/>
      <c r="G121" s="41"/>
      <c r="H121" s="41"/>
      <c r="I121" s="41"/>
      <c r="J121" s="41"/>
      <c r="K121" s="41"/>
      <c r="L121" s="41"/>
      <c r="M121" s="41"/>
      <c r="N121" s="246"/>
      <c r="O121" s="246"/>
      <c r="P121" s="247"/>
    </row>
    <row r="122" spans="1:16" ht="27" customHeight="1" x14ac:dyDescent="0.25">
      <c r="A122" s="244"/>
      <c r="B122" s="334"/>
      <c r="C122" s="41"/>
      <c r="D122" s="41"/>
      <c r="E122" s="41"/>
      <c r="F122" s="41"/>
      <c r="G122" s="41"/>
      <c r="H122" s="41"/>
      <c r="I122" s="41"/>
      <c r="J122" s="41"/>
      <c r="K122" s="41"/>
      <c r="L122" s="41"/>
      <c r="M122" s="41"/>
      <c r="N122" s="246"/>
      <c r="O122" s="246"/>
      <c r="P122" s="247"/>
    </row>
    <row r="123" spans="1:16" x14ac:dyDescent="0.25">
      <c r="A123" s="244"/>
      <c r="B123" s="257"/>
      <c r="C123" s="249"/>
      <c r="D123" s="19"/>
      <c r="E123" s="249"/>
      <c r="F123" s="249"/>
      <c r="G123" s="249"/>
      <c r="H123" s="249"/>
      <c r="I123" s="249"/>
      <c r="J123" s="249"/>
      <c r="K123" s="273" t="s">
        <v>1122</v>
      </c>
      <c r="L123" s="25"/>
      <c r="M123" s="25" t="s">
        <v>3</v>
      </c>
      <c r="N123" s="25"/>
      <c r="O123" s="25" t="s">
        <v>3</v>
      </c>
      <c r="P123" s="247"/>
    </row>
    <row r="124" spans="1:16" ht="15.6" x14ac:dyDescent="0.3">
      <c r="A124" s="244"/>
      <c r="B124" s="248" t="s">
        <v>1123</v>
      </c>
      <c r="C124" s="249"/>
      <c r="D124" s="249"/>
      <c r="E124" s="249"/>
      <c r="F124" s="249"/>
      <c r="G124" s="249"/>
      <c r="H124" s="249"/>
      <c r="I124" s="249"/>
      <c r="J124" s="249"/>
      <c r="K124" s="275" t="s">
        <v>1118</v>
      </c>
      <c r="L124" s="249"/>
      <c r="M124" s="249"/>
      <c r="N124" s="249"/>
      <c r="O124" s="249"/>
      <c r="P124" s="247"/>
    </row>
    <row r="125" spans="1:16" x14ac:dyDescent="0.25">
      <c r="A125" s="244"/>
      <c r="B125" s="335"/>
      <c r="C125" s="336"/>
      <c r="D125" s="336"/>
      <c r="E125" s="336"/>
      <c r="F125" s="336"/>
      <c r="G125" s="336"/>
      <c r="H125" s="336"/>
      <c r="I125" s="337"/>
      <c r="J125" s="249"/>
      <c r="K125" s="276"/>
      <c r="L125" s="250"/>
      <c r="M125" s="270"/>
      <c r="N125" s="278"/>
      <c r="O125" s="250"/>
      <c r="P125" s="247"/>
    </row>
    <row r="126" spans="1:16" x14ac:dyDescent="0.25">
      <c r="A126" s="244"/>
      <c r="B126" s="335"/>
      <c r="C126" s="336"/>
      <c r="D126" s="336"/>
      <c r="E126" s="336"/>
      <c r="F126" s="336"/>
      <c r="G126" s="336"/>
      <c r="H126" s="336"/>
      <c r="I126" s="337"/>
      <c r="J126" s="249"/>
      <c r="K126" s="276"/>
      <c r="L126" s="250"/>
      <c r="M126" s="270"/>
      <c r="N126" s="278"/>
      <c r="O126" s="250"/>
      <c r="P126" s="247"/>
    </row>
    <row r="127" spans="1:16" x14ac:dyDescent="0.25">
      <c r="A127" s="244"/>
      <c r="B127" s="335"/>
      <c r="C127" s="336"/>
      <c r="D127" s="336"/>
      <c r="E127" s="336"/>
      <c r="F127" s="336"/>
      <c r="G127" s="336"/>
      <c r="H127" s="336"/>
      <c r="I127" s="337"/>
      <c r="J127" s="249"/>
      <c r="K127" s="276"/>
      <c r="L127" s="250"/>
      <c r="M127" s="270"/>
      <c r="N127" s="278"/>
      <c r="O127" s="250"/>
      <c r="P127" s="247"/>
    </row>
    <row r="128" spans="1:16" x14ac:dyDescent="0.25">
      <c r="A128" s="244"/>
      <c r="B128" s="335"/>
      <c r="C128" s="336"/>
      <c r="D128" s="336"/>
      <c r="E128" s="336"/>
      <c r="F128" s="336"/>
      <c r="G128" s="336"/>
      <c r="H128" s="336"/>
      <c r="I128" s="337"/>
      <c r="J128" s="249"/>
      <c r="K128" s="276"/>
      <c r="L128" s="250"/>
      <c r="M128" s="270"/>
      <c r="N128" s="278"/>
      <c r="O128" s="250"/>
      <c r="P128" s="247"/>
    </row>
    <row r="129" spans="1:16" x14ac:dyDescent="0.25">
      <c r="A129" s="244"/>
      <c r="B129" s="335"/>
      <c r="C129" s="336"/>
      <c r="D129" s="336"/>
      <c r="E129" s="336"/>
      <c r="F129" s="336"/>
      <c r="G129" s="336"/>
      <c r="H129" s="336"/>
      <c r="I129" s="337"/>
      <c r="J129" s="249"/>
      <c r="K129" s="276"/>
      <c r="L129" s="250"/>
      <c r="M129" s="270"/>
      <c r="N129" s="278"/>
      <c r="O129" s="250"/>
      <c r="P129" s="247"/>
    </row>
    <row r="130" spans="1:16" x14ac:dyDescent="0.25">
      <c r="A130" s="244"/>
      <c r="B130" s="257"/>
      <c r="C130" s="249"/>
      <c r="D130" s="249"/>
      <c r="E130" s="249"/>
      <c r="F130" s="249"/>
      <c r="G130" s="249"/>
      <c r="H130" s="249"/>
      <c r="I130" s="249"/>
      <c r="J130" s="249"/>
      <c r="K130" s="280"/>
      <c r="L130" s="250"/>
      <c r="M130" s="250"/>
      <c r="N130" s="250"/>
      <c r="O130" s="250"/>
      <c r="P130" s="247"/>
    </row>
    <row r="131" spans="1:16" x14ac:dyDescent="0.25">
      <c r="A131" s="244"/>
      <c r="B131" s="257"/>
      <c r="C131" s="249"/>
      <c r="D131" s="249"/>
      <c r="E131" s="249"/>
      <c r="F131" s="249"/>
      <c r="G131" s="249"/>
      <c r="H131" s="249"/>
      <c r="I131" s="249"/>
      <c r="J131" s="249"/>
      <c r="K131" s="280"/>
      <c r="L131" s="250"/>
      <c r="M131" s="256">
        <f>SUM(M125:M130)</f>
        <v>0</v>
      </c>
      <c r="N131" s="250"/>
      <c r="O131" s="250"/>
      <c r="P131" s="247"/>
    </row>
    <row r="132" spans="1:16" ht="5.25" customHeight="1" x14ac:dyDescent="0.25">
      <c r="A132" s="244"/>
      <c r="B132" s="257"/>
      <c r="C132" s="249"/>
      <c r="D132" s="249"/>
      <c r="E132" s="249"/>
      <c r="F132" s="249"/>
      <c r="G132" s="249"/>
      <c r="H132" s="249"/>
      <c r="I132" s="249"/>
      <c r="J132" s="249"/>
      <c r="K132" s="280"/>
      <c r="L132" s="250"/>
      <c r="M132" s="250"/>
      <c r="N132" s="250"/>
      <c r="O132" s="250"/>
      <c r="P132" s="281"/>
    </row>
    <row r="133" spans="1:16" ht="15.6" x14ac:dyDescent="0.3">
      <c r="A133" s="244"/>
      <c r="B133" s="248" t="s">
        <v>1146</v>
      </c>
      <c r="C133" s="19"/>
      <c r="D133" s="19"/>
      <c r="E133" s="249"/>
      <c r="F133" s="249"/>
      <c r="G133" s="249"/>
      <c r="H133" s="249"/>
      <c r="I133" s="249"/>
      <c r="J133" s="249"/>
      <c r="K133" s="280"/>
      <c r="L133" s="250"/>
      <c r="M133" s="250"/>
      <c r="N133" s="250"/>
      <c r="O133" s="250"/>
      <c r="P133" s="247"/>
    </row>
    <row r="134" spans="1:16" x14ac:dyDescent="0.25">
      <c r="A134" s="244"/>
      <c r="B134" s="335"/>
      <c r="C134" s="336"/>
      <c r="D134" s="336"/>
      <c r="E134" s="336"/>
      <c r="F134" s="336"/>
      <c r="G134" s="336"/>
      <c r="H134" s="336"/>
      <c r="I134" s="337"/>
      <c r="J134" s="282"/>
      <c r="K134" s="276"/>
      <c r="L134" s="250"/>
      <c r="M134" s="270"/>
      <c r="N134" s="255"/>
      <c r="O134" s="250"/>
      <c r="P134" s="247"/>
    </row>
    <row r="135" spans="1:16" x14ac:dyDescent="0.25">
      <c r="A135" s="244"/>
      <c r="B135" s="257"/>
      <c r="C135" s="19"/>
      <c r="D135" s="19"/>
      <c r="E135" s="249"/>
      <c r="F135" s="249"/>
      <c r="G135" s="249"/>
      <c r="H135" s="249"/>
      <c r="I135" s="249"/>
      <c r="J135" s="249"/>
      <c r="K135" s="250"/>
      <c r="L135" s="250"/>
      <c r="M135" s="250"/>
      <c r="N135" s="250"/>
      <c r="O135" s="250"/>
      <c r="P135" s="247"/>
    </row>
    <row r="136" spans="1:16" ht="15.6" x14ac:dyDescent="0.3">
      <c r="A136" s="244"/>
      <c r="B136" s="257"/>
      <c r="C136" s="19"/>
      <c r="D136" s="19"/>
      <c r="E136" s="249"/>
      <c r="F136" s="249"/>
      <c r="G136" s="249"/>
      <c r="H136" s="249"/>
      <c r="I136" s="19"/>
      <c r="J136" s="19"/>
      <c r="K136" s="255"/>
      <c r="L136" s="250"/>
      <c r="M136" s="250"/>
      <c r="N136" s="250"/>
      <c r="O136" s="314">
        <f>M131+M134</f>
        <v>0</v>
      </c>
      <c r="P136" s="247"/>
    </row>
    <row r="137" spans="1:16" x14ac:dyDescent="0.25">
      <c r="A137" s="244"/>
      <c r="B137" s="283"/>
      <c r="C137" s="265"/>
      <c r="D137" s="264"/>
      <c r="E137" s="264"/>
      <c r="F137" s="264"/>
      <c r="G137" s="264"/>
      <c r="H137" s="264"/>
      <c r="I137" s="266"/>
      <c r="J137" s="266"/>
      <c r="K137" s="267"/>
      <c r="L137" s="266"/>
      <c r="M137" s="267"/>
      <c r="N137" s="267"/>
      <c r="O137" s="268" t="s">
        <v>1111</v>
      </c>
      <c r="P137" s="284"/>
    </row>
    <row r="138" spans="1:16" x14ac:dyDescent="0.25">
      <c r="A138" s="252"/>
      <c r="B138" s="264"/>
      <c r="C138" s="265"/>
      <c r="D138" s="264"/>
      <c r="E138" s="264"/>
      <c r="F138" s="264"/>
      <c r="G138" s="264"/>
      <c r="H138" s="264"/>
      <c r="I138" s="266"/>
      <c r="J138" s="266"/>
      <c r="K138" s="267"/>
      <c r="L138" s="266"/>
      <c r="M138" s="267"/>
      <c r="N138" s="267"/>
      <c r="O138" s="268"/>
      <c r="P138" s="264"/>
    </row>
    <row r="139" spans="1:16" x14ac:dyDescent="0.25">
      <c r="A139" s="244"/>
      <c r="B139" s="285"/>
      <c r="C139" s="260"/>
      <c r="D139" s="259"/>
      <c r="E139" s="259"/>
      <c r="F139" s="259"/>
      <c r="G139" s="259"/>
      <c r="H139" s="259"/>
      <c r="I139" s="261"/>
      <c r="J139" s="261"/>
      <c r="K139" s="262"/>
      <c r="L139" s="261"/>
      <c r="M139" s="262"/>
      <c r="N139" s="262"/>
      <c r="O139" s="263"/>
      <c r="P139" s="286"/>
    </row>
    <row r="140" spans="1:16" ht="18.600000000000001" x14ac:dyDescent="0.45">
      <c r="A140" s="244"/>
      <c r="B140" s="269" t="s">
        <v>1125</v>
      </c>
      <c r="C140" s="19"/>
      <c r="D140" s="249"/>
      <c r="E140" s="249"/>
      <c r="F140" s="249"/>
      <c r="G140" s="249"/>
      <c r="H140" s="249"/>
      <c r="I140" s="258"/>
      <c r="J140" s="258"/>
      <c r="K140" s="246"/>
      <c r="L140" s="258"/>
      <c r="M140" s="246"/>
      <c r="N140" s="246"/>
      <c r="O140" s="246"/>
      <c r="P140" s="247"/>
    </row>
    <row r="141" spans="1:16" ht="23.25" customHeight="1" x14ac:dyDescent="0.4">
      <c r="A141" s="244"/>
      <c r="B141" s="365" t="s">
        <v>1179</v>
      </c>
      <c r="C141" s="41"/>
      <c r="D141" s="41"/>
      <c r="E141" s="41"/>
      <c r="F141" s="41"/>
      <c r="G141" s="41"/>
      <c r="H141" s="41"/>
      <c r="I141" s="41"/>
      <c r="J141" s="41"/>
      <c r="K141" s="41"/>
      <c r="L141" s="41"/>
      <c r="M141" s="41"/>
      <c r="N141" s="246"/>
      <c r="O141" s="246"/>
      <c r="P141" s="247"/>
    </row>
    <row r="142" spans="1:16" ht="14.25" customHeight="1" x14ac:dyDescent="0.4">
      <c r="A142" s="244"/>
      <c r="B142" s="366" t="s">
        <v>1180</v>
      </c>
      <c r="C142" s="41"/>
      <c r="D142" s="41"/>
      <c r="E142" s="41"/>
      <c r="F142" s="41"/>
      <c r="G142" s="41"/>
      <c r="H142" s="41"/>
      <c r="I142" s="41"/>
      <c r="J142" s="41"/>
      <c r="K142" s="41"/>
      <c r="L142" s="41"/>
      <c r="M142" s="41"/>
      <c r="N142" s="246"/>
      <c r="O142" s="246"/>
      <c r="P142" s="247"/>
    </row>
    <row r="143" spans="1:16" ht="16.2" x14ac:dyDescent="0.4">
      <c r="A143" s="244"/>
      <c r="B143" s="366" t="s">
        <v>1178</v>
      </c>
      <c r="C143" s="41"/>
      <c r="D143" s="41"/>
      <c r="E143" s="41"/>
      <c r="F143" s="41"/>
      <c r="G143" s="41"/>
      <c r="H143" s="41"/>
      <c r="I143" s="41"/>
      <c r="J143" s="41"/>
      <c r="K143" s="41"/>
      <c r="L143" s="41"/>
      <c r="M143" s="41"/>
      <c r="N143" s="246"/>
      <c r="O143" s="246"/>
      <c r="P143" s="247"/>
    </row>
    <row r="144" spans="1:16" ht="16.2" x14ac:dyDescent="0.4">
      <c r="A144" s="244"/>
      <c r="B144" s="366" t="s">
        <v>1172</v>
      </c>
      <c r="C144" s="41"/>
      <c r="D144" s="41"/>
      <c r="E144" s="41"/>
      <c r="F144" s="41"/>
      <c r="G144" s="41"/>
      <c r="H144" s="41"/>
      <c r="I144" s="41"/>
      <c r="J144" s="41"/>
      <c r="K144" s="41"/>
      <c r="L144" s="41"/>
      <c r="M144" s="41"/>
      <c r="N144" s="246"/>
      <c r="O144" s="246"/>
      <c r="P144" s="247"/>
    </row>
    <row r="145" spans="1:16" ht="18.600000000000001" x14ac:dyDescent="0.45">
      <c r="A145" s="244"/>
      <c r="B145" s="269"/>
      <c r="C145" s="19"/>
      <c r="D145" s="249"/>
      <c r="E145" s="249"/>
      <c r="F145" s="249"/>
      <c r="G145" s="249"/>
      <c r="H145" s="249"/>
      <c r="I145" s="258"/>
      <c r="J145" s="258"/>
      <c r="K145" s="246"/>
      <c r="L145" s="258"/>
      <c r="M145" s="246"/>
      <c r="N145" s="246"/>
      <c r="O145" s="246"/>
      <c r="P145" s="247"/>
    </row>
    <row r="146" spans="1:16" ht="15.6" x14ac:dyDescent="0.3">
      <c r="A146" s="244"/>
      <c r="B146" s="248" t="s">
        <v>1126</v>
      </c>
      <c r="C146" s="19"/>
      <c r="D146" s="249"/>
      <c r="E146" s="249"/>
      <c r="F146" s="249"/>
      <c r="G146" s="249"/>
      <c r="H146" s="249"/>
      <c r="I146" s="258"/>
      <c r="J146" s="258"/>
      <c r="K146" s="258"/>
      <c r="L146" s="258"/>
      <c r="M146" s="250"/>
      <c r="N146" s="250"/>
      <c r="O146" s="250"/>
      <c r="P146" s="247"/>
    </row>
    <row r="147" spans="1:16" x14ac:dyDescent="0.25">
      <c r="A147" s="244"/>
      <c r="B147" s="376" t="s">
        <v>1147</v>
      </c>
      <c r="C147" s="338"/>
      <c r="D147" s="338"/>
      <c r="E147" s="338"/>
      <c r="F147" s="338"/>
      <c r="G147" s="338"/>
      <c r="H147" s="338"/>
      <c r="I147" s="339"/>
      <c r="J147" s="282"/>
      <c r="K147" s="25"/>
      <c r="L147" s="250"/>
      <c r="M147" s="270"/>
      <c r="N147" s="250"/>
      <c r="O147" s="250"/>
      <c r="P147" s="247"/>
    </row>
    <row r="148" spans="1:16" ht="6.75" customHeight="1" x14ac:dyDescent="0.25">
      <c r="A148" s="244"/>
      <c r="B148" s="257"/>
      <c r="C148" s="19"/>
      <c r="D148" s="249"/>
      <c r="E148" s="249"/>
      <c r="F148" s="249"/>
      <c r="G148" s="249"/>
      <c r="H148" s="249"/>
      <c r="I148" s="258"/>
      <c r="J148" s="258"/>
      <c r="K148" s="258"/>
      <c r="L148" s="258"/>
      <c r="M148" s="258"/>
      <c r="N148" s="250"/>
      <c r="O148" s="250"/>
      <c r="P148" s="247"/>
    </row>
    <row r="149" spans="1:16" ht="15.6" x14ac:dyDescent="0.3">
      <c r="A149" s="244"/>
      <c r="B149" s="248" t="s">
        <v>1127</v>
      </c>
      <c r="C149" s="19"/>
      <c r="D149" s="249"/>
      <c r="E149" s="249"/>
      <c r="F149" s="249"/>
      <c r="G149" s="249"/>
      <c r="H149" s="249"/>
      <c r="I149" s="258"/>
      <c r="J149" s="258"/>
      <c r="K149" s="258"/>
      <c r="L149" s="258"/>
      <c r="M149" s="258"/>
      <c r="N149" s="258"/>
      <c r="O149" s="258"/>
      <c r="P149" s="247"/>
    </row>
    <row r="150" spans="1:16" x14ac:dyDescent="0.25">
      <c r="A150" s="244"/>
      <c r="B150" s="376" t="s">
        <v>1148</v>
      </c>
      <c r="C150" s="338"/>
      <c r="D150" s="338"/>
      <c r="E150" s="338"/>
      <c r="F150" s="338"/>
      <c r="G150" s="338"/>
      <c r="H150" s="338"/>
      <c r="I150" s="339"/>
      <c r="J150" s="282"/>
      <c r="K150" s="25"/>
      <c r="L150" s="250"/>
      <c r="M150" s="270"/>
      <c r="N150" s="250"/>
      <c r="O150" s="250"/>
      <c r="P150" s="247"/>
    </row>
    <row r="151" spans="1:16" x14ac:dyDescent="0.25">
      <c r="A151" s="244"/>
      <c r="B151" s="257"/>
      <c r="C151" s="249"/>
      <c r="D151" s="249"/>
      <c r="E151" s="249"/>
      <c r="F151" s="249"/>
      <c r="G151" s="249"/>
      <c r="H151" s="249"/>
      <c r="I151" s="246"/>
      <c r="J151" s="246"/>
      <c r="K151" s="258"/>
      <c r="L151" s="255"/>
      <c r="M151" s="250"/>
      <c r="N151" s="255"/>
      <c r="O151" s="255"/>
      <c r="P151" s="247"/>
    </row>
    <row r="152" spans="1:16" x14ac:dyDescent="0.25">
      <c r="A152" s="244"/>
      <c r="B152" s="257"/>
      <c r="C152" s="249"/>
      <c r="D152" s="249"/>
      <c r="E152" s="249"/>
      <c r="F152" s="249"/>
      <c r="G152" s="249"/>
      <c r="H152" s="249"/>
      <c r="I152" s="19"/>
      <c r="J152" s="19"/>
      <c r="K152" s="258"/>
      <c r="L152" s="255"/>
      <c r="M152" s="256"/>
      <c r="N152" s="255"/>
      <c r="O152" s="255"/>
      <c r="P152" s="247"/>
    </row>
    <row r="153" spans="1:16" ht="6" customHeight="1" x14ac:dyDescent="0.25">
      <c r="A153" s="244"/>
      <c r="B153" s="257"/>
      <c r="C153" s="249"/>
      <c r="D153" s="249"/>
      <c r="E153" s="249"/>
      <c r="F153" s="249"/>
      <c r="G153" s="249"/>
      <c r="H153" s="249"/>
      <c r="I153" s="246"/>
      <c r="J153" s="246"/>
      <c r="K153" s="258"/>
      <c r="L153" s="255"/>
      <c r="M153" s="255"/>
      <c r="N153" s="255"/>
      <c r="O153" s="255"/>
      <c r="P153" s="247"/>
    </row>
    <row r="154" spans="1:16" ht="15.6" x14ac:dyDescent="0.3">
      <c r="A154" s="238"/>
      <c r="B154" s="7"/>
      <c r="C154" s="1"/>
      <c r="D154" s="20"/>
      <c r="E154" s="20"/>
      <c r="F154" s="20"/>
      <c r="G154" s="20"/>
      <c r="H154" s="20"/>
      <c r="I154" s="25"/>
      <c r="J154" s="19"/>
      <c r="K154" s="24"/>
      <c r="L154" s="21"/>
      <c r="M154" s="24"/>
      <c r="N154" s="255"/>
      <c r="O154" s="314">
        <f>M152</f>
        <v>0</v>
      </c>
      <c r="P154" s="8"/>
    </row>
    <row r="155" spans="1:16" ht="15" x14ac:dyDescent="0.25">
      <c r="A155" s="238"/>
      <c r="B155" s="32"/>
      <c r="C155" s="33"/>
      <c r="D155" s="287"/>
      <c r="E155" s="287"/>
      <c r="F155" s="287"/>
      <c r="G155" s="287"/>
      <c r="H155" s="287"/>
      <c r="I155" s="265"/>
      <c r="J155" s="265"/>
      <c r="K155" s="288"/>
      <c r="L155" s="288"/>
      <c r="M155" s="288"/>
      <c r="N155" s="288"/>
      <c r="O155" s="268" t="s">
        <v>1111</v>
      </c>
      <c r="P155" s="35"/>
    </row>
    <row r="156" spans="1:16" ht="15" x14ac:dyDescent="0.25">
      <c r="A156" s="238"/>
      <c r="B156" s="7"/>
      <c r="C156" s="1"/>
      <c r="D156" s="20"/>
      <c r="E156" s="20"/>
      <c r="F156" s="20"/>
      <c r="G156" s="20"/>
      <c r="H156" s="20"/>
      <c r="I156" s="19"/>
      <c r="J156" s="19"/>
      <c r="K156" s="24"/>
      <c r="L156" s="24"/>
      <c r="M156" s="24"/>
      <c r="N156" s="24"/>
      <c r="O156" s="25"/>
      <c r="P156" s="8"/>
    </row>
    <row r="157" spans="1:16" ht="15" x14ac:dyDescent="0.25">
      <c r="A157" s="238"/>
      <c r="B157" s="7"/>
      <c r="C157" s="1"/>
      <c r="D157" s="20"/>
      <c r="E157" s="20"/>
      <c r="F157" s="20"/>
      <c r="G157" s="20"/>
      <c r="H157" s="20"/>
      <c r="I157" s="19"/>
      <c r="J157" s="19"/>
      <c r="K157" s="24"/>
      <c r="L157" s="24"/>
      <c r="M157" s="24"/>
      <c r="N157" s="24"/>
      <c r="O157" s="25"/>
      <c r="P157" s="8"/>
    </row>
    <row r="158" spans="1:16" ht="18.600000000000001" x14ac:dyDescent="0.45">
      <c r="A158" s="238"/>
      <c r="B158" s="269" t="s">
        <v>1149</v>
      </c>
      <c r="C158" s="1"/>
      <c r="D158" s="20"/>
      <c r="E158" s="20"/>
      <c r="F158" s="20"/>
      <c r="G158" s="20"/>
      <c r="H158" s="20"/>
      <c r="I158" s="19"/>
      <c r="J158" s="19"/>
      <c r="K158" s="24"/>
      <c r="L158" s="21"/>
      <c r="M158" s="24"/>
      <c r="N158" s="24"/>
      <c r="O158" s="255"/>
      <c r="P158" s="8"/>
    </row>
    <row r="159" spans="1:16" s="343" customFormat="1" ht="12.75" customHeight="1" x14ac:dyDescent="0.4">
      <c r="A159" s="244"/>
      <c r="B159" s="365" t="s">
        <v>1182</v>
      </c>
      <c r="C159" s="377"/>
      <c r="D159" s="377"/>
      <c r="E159" s="377"/>
      <c r="F159" s="377"/>
      <c r="G159" s="377"/>
      <c r="H159" s="377"/>
      <c r="I159" s="377"/>
      <c r="J159" s="377"/>
      <c r="K159" s="377"/>
      <c r="L159" s="377"/>
      <c r="M159" s="377"/>
      <c r="N159" s="362"/>
      <c r="O159" s="362"/>
      <c r="P159" s="363"/>
    </row>
    <row r="160" spans="1:16" ht="12.75" customHeight="1" x14ac:dyDescent="0.4">
      <c r="A160" s="244"/>
      <c r="B160" s="365" t="s">
        <v>1181</v>
      </c>
      <c r="C160" s="340"/>
      <c r="D160" s="340"/>
      <c r="E160" s="340"/>
      <c r="F160" s="340"/>
      <c r="G160" s="340"/>
      <c r="H160" s="340"/>
      <c r="I160" s="340"/>
      <c r="J160" s="340"/>
      <c r="K160" s="340"/>
      <c r="L160" s="340"/>
      <c r="M160" s="340"/>
      <c r="N160" s="246"/>
      <c r="O160" s="246"/>
      <c r="P160" s="247"/>
    </row>
    <row r="161" spans="1:16" ht="15.6" x14ac:dyDescent="0.3">
      <c r="A161" s="238"/>
      <c r="B161" s="7"/>
      <c r="C161" s="1"/>
      <c r="D161" s="20"/>
      <c r="E161" s="20"/>
      <c r="F161" s="20"/>
      <c r="G161" s="20"/>
      <c r="H161" s="20"/>
      <c r="I161" s="19"/>
      <c r="J161" s="19"/>
      <c r="K161" s="24"/>
      <c r="L161" s="21"/>
      <c r="M161" s="24"/>
      <c r="N161" s="24"/>
      <c r="O161" s="255"/>
      <c r="P161" s="8"/>
    </row>
    <row r="162" spans="1:16" ht="15.6" x14ac:dyDescent="0.3">
      <c r="A162" s="238"/>
      <c r="B162" s="376" t="s">
        <v>1150</v>
      </c>
      <c r="C162" s="338"/>
      <c r="D162" s="338"/>
      <c r="E162" s="338"/>
      <c r="F162" s="338"/>
      <c r="G162" s="338"/>
      <c r="H162" s="338"/>
      <c r="I162" s="339"/>
      <c r="J162" s="19"/>
      <c r="K162" s="24"/>
      <c r="L162" s="21"/>
      <c r="M162" s="270"/>
      <c r="N162" s="24"/>
      <c r="O162" s="255"/>
      <c r="P162" s="8"/>
    </row>
    <row r="163" spans="1:16" ht="15.6" x14ac:dyDescent="0.3">
      <c r="A163" s="238"/>
      <c r="B163" s="7"/>
      <c r="C163" s="1"/>
      <c r="D163" s="20"/>
      <c r="E163" s="20"/>
      <c r="F163" s="20"/>
      <c r="G163" s="20"/>
      <c r="H163" s="20"/>
      <c r="I163" s="19"/>
      <c r="J163" s="19"/>
      <c r="K163" s="24"/>
      <c r="L163" s="21"/>
      <c r="M163" s="24"/>
      <c r="N163" s="24"/>
      <c r="O163" s="255"/>
      <c r="P163" s="8"/>
    </row>
    <row r="164" spans="1:16" ht="15.6" x14ac:dyDescent="0.3">
      <c r="A164" s="238"/>
      <c r="B164" s="7"/>
      <c r="C164" s="1"/>
      <c r="D164" s="20"/>
      <c r="E164" s="20"/>
      <c r="F164" s="20"/>
      <c r="G164" s="20"/>
      <c r="H164" s="20"/>
      <c r="I164" s="19"/>
      <c r="J164" s="19"/>
      <c r="K164" s="24"/>
      <c r="L164" s="21"/>
      <c r="M164" s="24"/>
      <c r="N164" s="24"/>
      <c r="O164" s="314">
        <f>M162</f>
        <v>0</v>
      </c>
      <c r="P164" s="8"/>
    </row>
    <row r="165" spans="1:16" ht="15.6" x14ac:dyDescent="0.3">
      <c r="A165" s="238"/>
      <c r="B165" s="7"/>
      <c r="C165" s="1"/>
      <c r="D165" s="20"/>
      <c r="E165" s="20"/>
      <c r="F165" s="20"/>
      <c r="G165" s="20"/>
      <c r="H165" s="20"/>
      <c r="I165" s="19"/>
      <c r="J165" s="19"/>
      <c r="K165" s="24"/>
      <c r="L165" s="21"/>
      <c r="M165" s="24"/>
      <c r="N165" s="24"/>
      <c r="O165" s="289" t="s">
        <v>1111</v>
      </c>
      <c r="P165" s="8"/>
    </row>
    <row r="166" spans="1:16" ht="18.600000000000001" x14ac:dyDescent="0.45">
      <c r="A166" s="238"/>
      <c r="B166" s="269" t="s">
        <v>1206</v>
      </c>
      <c r="C166" s="1"/>
      <c r="D166" s="20"/>
      <c r="E166" s="20"/>
      <c r="F166" s="20"/>
      <c r="G166" s="20"/>
      <c r="H166" s="20"/>
      <c r="I166" s="19"/>
      <c r="J166" s="19"/>
      <c r="K166" s="24"/>
      <c r="L166" s="21"/>
      <c r="M166" s="24"/>
      <c r="N166" s="24"/>
      <c r="O166" s="255"/>
      <c r="P166" s="8"/>
    </row>
    <row r="167" spans="1:16" ht="12.75" customHeight="1" x14ac:dyDescent="0.4">
      <c r="A167" s="238"/>
      <c r="B167" s="365" t="s">
        <v>1183</v>
      </c>
      <c r="C167" s="340"/>
      <c r="D167" s="340"/>
      <c r="E167" s="340"/>
      <c r="F167" s="340"/>
      <c r="G167" s="340"/>
      <c r="H167" s="340"/>
      <c r="I167" s="340"/>
      <c r="J167" s="340"/>
      <c r="K167" s="340"/>
      <c r="L167" s="340"/>
      <c r="M167" s="340"/>
      <c r="N167" s="246"/>
      <c r="O167" s="246"/>
      <c r="P167" s="8"/>
    </row>
    <row r="168" spans="1:16" ht="12.75" customHeight="1" x14ac:dyDescent="0.4">
      <c r="A168" s="238"/>
      <c r="B168" s="365" t="s">
        <v>1181</v>
      </c>
      <c r="C168" s="340"/>
      <c r="D168" s="340"/>
      <c r="E168" s="340"/>
      <c r="F168" s="340"/>
      <c r="G168" s="340"/>
      <c r="H168" s="340"/>
      <c r="I168" s="340"/>
      <c r="J168" s="340"/>
      <c r="K168" s="340"/>
      <c r="L168" s="340"/>
      <c r="M168" s="340"/>
      <c r="N168" s="246"/>
      <c r="O168" s="246"/>
      <c r="P168" s="8"/>
    </row>
    <row r="169" spans="1:16" ht="12.75" customHeight="1" x14ac:dyDescent="0.4">
      <c r="A169" s="238"/>
      <c r="B169" s="319"/>
      <c r="C169" s="340"/>
      <c r="D169" s="340"/>
      <c r="E169" s="340"/>
      <c r="F169" s="340"/>
      <c r="G169" s="340"/>
      <c r="H169" s="340"/>
      <c r="I169" s="340"/>
      <c r="J169" s="340"/>
      <c r="K169" s="340"/>
      <c r="L169" s="340"/>
      <c r="M169" s="340"/>
      <c r="N169" s="246"/>
      <c r="O169" s="246"/>
      <c r="P169" s="8"/>
    </row>
    <row r="170" spans="1:16" ht="15.75" customHeight="1" x14ac:dyDescent="0.3">
      <c r="A170" s="238"/>
      <c r="B170" s="376"/>
      <c r="C170" s="338"/>
      <c r="D170" s="338"/>
      <c r="E170" s="338"/>
      <c r="F170" s="338"/>
      <c r="G170" s="338"/>
      <c r="H170" s="338"/>
      <c r="I170" s="339"/>
      <c r="J170" s="19"/>
      <c r="K170" s="24"/>
      <c r="L170" s="21"/>
      <c r="M170" s="270"/>
      <c r="N170" s="24"/>
      <c r="O170" s="255"/>
      <c r="P170" s="8"/>
    </row>
    <row r="171" spans="1:16" ht="15.6" x14ac:dyDescent="0.3">
      <c r="A171" s="238"/>
      <c r="B171" s="7"/>
      <c r="C171" s="1"/>
      <c r="D171" s="20"/>
      <c r="E171" s="20"/>
      <c r="F171" s="20"/>
      <c r="G171" s="20"/>
      <c r="H171" s="20"/>
      <c r="I171" s="19"/>
      <c r="J171" s="19"/>
      <c r="K171" s="24"/>
      <c r="L171" s="21"/>
      <c r="M171" s="24"/>
      <c r="N171" s="24"/>
      <c r="O171" s="255"/>
      <c r="P171" s="8"/>
    </row>
    <row r="172" spans="1:16" ht="15.6" x14ac:dyDescent="0.3">
      <c r="A172" s="238"/>
      <c r="B172" s="7"/>
      <c r="C172" s="1"/>
      <c r="D172" s="20"/>
      <c r="E172" s="20"/>
      <c r="F172" s="20"/>
      <c r="G172" s="20"/>
      <c r="H172" s="20"/>
      <c r="I172" s="19"/>
      <c r="J172" s="19"/>
      <c r="K172" s="24"/>
      <c r="L172" s="21"/>
      <c r="M172" s="24"/>
      <c r="N172" s="24"/>
      <c r="O172" s="314">
        <f>M170</f>
        <v>0</v>
      </c>
      <c r="P172" s="8"/>
    </row>
    <row r="173" spans="1:16" x14ac:dyDescent="0.25">
      <c r="A173" s="238"/>
      <c r="B173" s="32"/>
      <c r="C173" s="33"/>
      <c r="D173" s="33"/>
      <c r="E173" s="33"/>
      <c r="F173" s="33"/>
      <c r="G173" s="33"/>
      <c r="H173" s="33"/>
      <c r="I173" s="34"/>
      <c r="J173" s="34"/>
      <c r="K173" s="34"/>
      <c r="L173" s="34"/>
      <c r="M173" s="34"/>
      <c r="N173" s="34"/>
      <c r="O173" s="268" t="s">
        <v>1111</v>
      </c>
      <c r="P173" s="35"/>
    </row>
    <row r="174" spans="1:16" x14ac:dyDescent="0.25">
      <c r="A174" s="230"/>
      <c r="B174" s="240"/>
      <c r="C174" s="240"/>
      <c r="D174" s="240"/>
      <c r="E174" s="240"/>
      <c r="F174" s="240"/>
      <c r="G174" s="240"/>
      <c r="H174" s="240"/>
      <c r="I174" s="240"/>
      <c r="J174" s="240"/>
      <c r="K174" s="240"/>
      <c r="L174" s="240"/>
      <c r="M174" s="240"/>
      <c r="N174" s="240"/>
      <c r="O174" s="240"/>
      <c r="P174" s="240"/>
    </row>
    <row r="175" spans="1:16" ht="21" x14ac:dyDescent="0.4">
      <c r="A175" s="238"/>
      <c r="B175" s="315" t="s">
        <v>1204</v>
      </c>
      <c r="C175" s="316"/>
      <c r="D175" s="316"/>
      <c r="E175" s="316"/>
      <c r="F175" s="316"/>
      <c r="G175" s="316"/>
      <c r="H175" s="316"/>
      <c r="I175" s="316"/>
      <c r="J175" s="316"/>
      <c r="K175" s="316"/>
      <c r="L175" s="316"/>
      <c r="M175" s="316"/>
      <c r="N175" s="316"/>
      <c r="O175" s="317"/>
      <c r="P175" s="241"/>
    </row>
    <row r="176" spans="1:16" ht="6.75" customHeight="1" x14ac:dyDescent="0.25">
      <c r="A176" s="238"/>
      <c r="B176" s="7"/>
      <c r="C176" s="1"/>
      <c r="D176" s="1"/>
      <c r="E176" s="1"/>
      <c r="F176" s="1"/>
      <c r="G176" s="1"/>
      <c r="H176" s="1"/>
      <c r="I176" s="1"/>
      <c r="J176" s="1"/>
      <c r="K176" s="1"/>
      <c r="L176" s="1"/>
      <c r="M176" s="1"/>
      <c r="N176" s="1"/>
      <c r="O176" s="1"/>
      <c r="P176" s="8"/>
    </row>
    <row r="177" spans="1:16" ht="18.600000000000001" x14ac:dyDescent="0.45">
      <c r="A177" s="238"/>
      <c r="B177" s="9" t="s">
        <v>0</v>
      </c>
      <c r="C177" s="10"/>
      <c r="D177" s="242" t="str">
        <f>D26</f>
        <v xml:space="preserve">****** Primary School </v>
      </c>
      <c r="E177" s="1"/>
      <c r="F177" s="1"/>
      <c r="G177" s="1"/>
      <c r="H177" s="1"/>
      <c r="I177" s="1"/>
      <c r="J177" s="1"/>
      <c r="K177" s="1"/>
      <c r="L177" s="1"/>
      <c r="M177" s="1"/>
      <c r="N177" s="1"/>
      <c r="O177" s="1"/>
      <c r="P177" s="8"/>
    </row>
    <row r="178" spans="1:16" ht="18.600000000000001" x14ac:dyDescent="0.45">
      <c r="A178" s="238"/>
      <c r="B178" s="9" t="s">
        <v>1</v>
      </c>
      <c r="C178" s="12"/>
      <c r="D178" s="242">
        <v>9999</v>
      </c>
      <c r="E178" s="1"/>
      <c r="F178" s="1"/>
      <c r="G178" s="1"/>
      <c r="H178" s="1"/>
      <c r="I178" s="1"/>
      <c r="J178" s="1"/>
      <c r="K178" s="1"/>
      <c r="L178" s="1"/>
      <c r="M178" s="1"/>
      <c r="N178" s="1"/>
      <c r="O178" s="1"/>
      <c r="P178" s="8"/>
    </row>
    <row r="179" spans="1:16" ht="18.600000000000001" x14ac:dyDescent="0.45">
      <c r="A179" s="238"/>
      <c r="B179" s="9" t="s">
        <v>2</v>
      </c>
      <c r="C179" s="10"/>
      <c r="D179" s="242" t="s">
        <v>1144</v>
      </c>
      <c r="E179" s="1"/>
      <c r="F179" s="1"/>
      <c r="G179" s="1"/>
      <c r="H179" s="1"/>
      <c r="I179" s="1"/>
      <c r="J179" s="1"/>
      <c r="K179" s="1"/>
      <c r="L179" s="1"/>
      <c r="M179" s="1"/>
      <c r="N179" s="1"/>
      <c r="O179" s="1"/>
      <c r="P179" s="8"/>
    </row>
    <row r="180" spans="1:16" ht="6.75" customHeight="1" x14ac:dyDescent="0.25">
      <c r="A180" s="238"/>
      <c r="B180" s="7"/>
      <c r="C180" s="1"/>
      <c r="D180" s="1"/>
      <c r="E180" s="1"/>
      <c r="F180" s="1"/>
      <c r="G180" s="1"/>
      <c r="H180" s="1"/>
      <c r="I180" s="1"/>
      <c r="J180" s="1"/>
      <c r="K180" s="1"/>
      <c r="L180" s="1"/>
      <c r="M180" s="1"/>
      <c r="N180" s="1"/>
      <c r="O180" s="1"/>
      <c r="P180" s="8"/>
    </row>
    <row r="181" spans="1:16" ht="21.75" customHeight="1" x14ac:dyDescent="0.6">
      <c r="A181" s="244"/>
      <c r="B181" s="378" t="s">
        <v>1129</v>
      </c>
      <c r="C181" s="341"/>
      <c r="D181" s="341"/>
      <c r="E181" s="341"/>
      <c r="F181" s="341"/>
      <c r="G181" s="341"/>
      <c r="H181" s="1"/>
      <c r="I181" s="1"/>
      <c r="J181" s="1"/>
      <c r="K181" s="290"/>
      <c r="L181" s="1"/>
      <c r="M181" s="290" t="s">
        <v>3</v>
      </c>
      <c r="N181" s="1"/>
      <c r="O181" s="290" t="s">
        <v>3</v>
      </c>
      <c r="P181" s="31"/>
    </row>
    <row r="182" spans="1:16" ht="7.5" customHeight="1" x14ac:dyDescent="0.25">
      <c r="A182" s="244"/>
      <c r="B182" s="291"/>
      <c r="C182" s="249"/>
      <c r="D182" s="19"/>
      <c r="E182" s="249"/>
      <c r="F182" s="249"/>
      <c r="G182" s="249"/>
      <c r="H182" s="249"/>
      <c r="I182" s="249"/>
      <c r="J182" s="249"/>
      <c r="K182" s="273"/>
      <c r="L182" s="25"/>
      <c r="M182" s="273"/>
      <c r="N182" s="25"/>
      <c r="O182" s="25"/>
      <c r="P182" s="247"/>
    </row>
    <row r="183" spans="1:16" ht="21.75" customHeight="1" x14ac:dyDescent="0.4">
      <c r="A183" s="244"/>
      <c r="B183" s="308" t="s">
        <v>1106</v>
      </c>
      <c r="C183" s="381"/>
      <c r="D183" s="382" t="s">
        <v>1130</v>
      </c>
      <c r="E183" s="310"/>
      <c r="F183" s="310"/>
      <c r="G183" s="310"/>
      <c r="H183" s="310"/>
      <c r="I183" s="310"/>
      <c r="J183" s="310"/>
      <c r="K183" s="386"/>
      <c r="L183" s="387"/>
      <c r="M183" s="386"/>
      <c r="N183" s="386"/>
      <c r="O183" s="388">
        <f>O172+O164+O154+O136+O111+O72+M36</f>
        <v>0</v>
      </c>
      <c r="P183" s="247"/>
    </row>
    <row r="184" spans="1:16" x14ac:dyDescent="0.25">
      <c r="A184" s="244"/>
      <c r="B184" s="257"/>
      <c r="C184" s="249"/>
      <c r="D184" s="19"/>
      <c r="E184" s="249"/>
      <c r="F184" s="249"/>
      <c r="G184" s="249"/>
      <c r="H184" s="249"/>
      <c r="I184" s="249"/>
      <c r="J184" s="249"/>
      <c r="K184" s="273"/>
      <c r="L184" s="25"/>
      <c r="M184" s="273"/>
      <c r="N184" s="25"/>
      <c r="O184" s="25"/>
      <c r="P184" s="247"/>
    </row>
    <row r="185" spans="1:16" ht="18.75" customHeight="1" x14ac:dyDescent="0.3">
      <c r="A185" s="292"/>
      <c r="B185" s="379" t="s">
        <v>1151</v>
      </c>
      <c r="C185" s="342"/>
      <c r="D185" s="342"/>
      <c r="E185" s="342"/>
      <c r="F185" s="342"/>
      <c r="G185" s="342"/>
      <c r="H185" s="342"/>
      <c r="I185" s="342"/>
      <c r="J185" s="293"/>
      <c r="K185" s="294"/>
      <c r="L185" s="295"/>
      <c r="M185" s="294"/>
      <c r="N185" s="295"/>
      <c r="O185" s="295"/>
      <c r="P185" s="296"/>
    </row>
    <row r="186" spans="1:16" ht="9.75" customHeight="1" x14ac:dyDescent="0.3">
      <c r="A186" s="292"/>
      <c r="B186" s="379"/>
      <c r="C186" s="297"/>
      <c r="D186" s="297"/>
      <c r="E186" s="297"/>
      <c r="F186" s="297"/>
      <c r="G186" s="297"/>
      <c r="H186" s="297"/>
      <c r="I186" s="297"/>
      <c r="J186" s="297"/>
      <c r="K186" s="295"/>
      <c r="L186" s="295"/>
      <c r="M186" s="295"/>
      <c r="N186" s="295"/>
      <c r="O186" s="295"/>
      <c r="P186" s="296"/>
    </row>
    <row r="187" spans="1:16" ht="18.75" customHeight="1" x14ac:dyDescent="0.3">
      <c r="A187" s="292"/>
      <c r="B187" s="379" t="s">
        <v>1152</v>
      </c>
      <c r="C187" s="293"/>
      <c r="D187" s="293"/>
      <c r="E187" s="293"/>
      <c r="F187" s="293"/>
      <c r="G187" s="293"/>
      <c r="H187" s="293"/>
      <c r="I187" s="293"/>
      <c r="J187" s="293"/>
      <c r="K187" s="298"/>
      <c r="L187" s="299"/>
      <c r="M187" s="298"/>
      <c r="N187" s="299"/>
      <c r="O187" s="299"/>
      <c r="P187" s="296"/>
    </row>
    <row r="188" spans="1:16" ht="9.75" customHeight="1" x14ac:dyDescent="0.3">
      <c r="A188" s="292"/>
      <c r="B188" s="379"/>
      <c r="C188" s="297"/>
      <c r="D188" s="297"/>
      <c r="E188" s="297"/>
      <c r="F188" s="297"/>
      <c r="G188" s="297"/>
      <c r="H188" s="297"/>
      <c r="I188" s="297"/>
      <c r="J188" s="297"/>
      <c r="K188" s="300"/>
      <c r="L188" s="299"/>
      <c r="M188" s="300"/>
      <c r="N188" s="299"/>
      <c r="O188" s="299"/>
      <c r="P188" s="296"/>
    </row>
    <row r="189" spans="1:16" ht="18.75" customHeight="1" x14ac:dyDescent="0.3">
      <c r="A189" s="292"/>
      <c r="B189" s="379" t="s">
        <v>1153</v>
      </c>
      <c r="C189" s="293"/>
      <c r="D189" s="293"/>
      <c r="E189" s="293"/>
      <c r="F189" s="293"/>
      <c r="G189" s="293"/>
      <c r="H189" s="293"/>
      <c r="I189" s="293"/>
      <c r="J189" s="293"/>
      <c r="K189" s="298"/>
      <c r="L189" s="299"/>
      <c r="M189" s="298"/>
      <c r="N189" s="299"/>
      <c r="O189" s="299"/>
      <c r="P189" s="296"/>
    </row>
    <row r="190" spans="1:16" ht="9.75" customHeight="1" x14ac:dyDescent="0.3">
      <c r="A190" s="292"/>
      <c r="B190" s="379"/>
      <c r="C190" s="297"/>
      <c r="D190" s="297"/>
      <c r="E190" s="297"/>
      <c r="F190" s="297"/>
      <c r="G190" s="297"/>
      <c r="H190" s="297"/>
      <c r="I190" s="297"/>
      <c r="J190" s="297"/>
      <c r="K190" s="300"/>
      <c r="L190" s="299"/>
      <c r="M190" s="300"/>
      <c r="N190" s="299"/>
      <c r="O190" s="299"/>
      <c r="P190" s="296"/>
    </row>
    <row r="191" spans="1:16" ht="18.75" customHeight="1" x14ac:dyDescent="0.3">
      <c r="A191" s="292"/>
      <c r="B191" s="379" t="s">
        <v>1145</v>
      </c>
      <c r="C191" s="293"/>
      <c r="D191" s="293"/>
      <c r="E191" s="293"/>
      <c r="F191" s="293"/>
      <c r="G191" s="293"/>
      <c r="H191" s="293"/>
      <c r="I191" s="293"/>
      <c r="J191" s="293"/>
      <c r="K191" s="298"/>
      <c r="L191" s="299"/>
      <c r="M191" s="298"/>
      <c r="N191" s="299"/>
      <c r="O191" s="299"/>
      <c r="P191" s="296"/>
    </row>
    <row r="192" spans="1:16" ht="9.75" customHeight="1" x14ac:dyDescent="0.3">
      <c r="A192" s="292"/>
      <c r="B192" s="379"/>
      <c r="C192" s="293"/>
      <c r="D192" s="301"/>
      <c r="E192" s="301"/>
      <c r="F192" s="301"/>
      <c r="G192" s="301"/>
      <c r="H192" s="301"/>
      <c r="I192" s="301"/>
      <c r="J192" s="301"/>
      <c r="K192" s="299"/>
      <c r="L192" s="299"/>
      <c r="M192" s="299"/>
      <c r="N192" s="299"/>
      <c r="O192" s="299"/>
      <c r="P192" s="296"/>
    </row>
    <row r="193" spans="1:16" ht="18.75" customHeight="1" x14ac:dyDescent="0.3">
      <c r="A193" s="292"/>
      <c r="B193" s="379" t="s">
        <v>1125</v>
      </c>
      <c r="C193" s="293"/>
      <c r="D193" s="293"/>
      <c r="E193" s="293"/>
      <c r="F193" s="293"/>
      <c r="G193" s="293"/>
      <c r="H193" s="293"/>
      <c r="I193" s="293"/>
      <c r="J193" s="301"/>
      <c r="K193" s="298"/>
      <c r="L193" s="299"/>
      <c r="M193" s="298"/>
      <c r="N193" s="299"/>
      <c r="O193" s="299"/>
      <c r="P193" s="296"/>
    </row>
    <row r="194" spans="1:16" ht="9.75" customHeight="1" x14ac:dyDescent="0.3">
      <c r="A194" s="292"/>
      <c r="B194" s="379"/>
      <c r="C194" s="297"/>
      <c r="D194" s="297"/>
      <c r="E194" s="297"/>
      <c r="F194" s="297"/>
      <c r="G194" s="297"/>
      <c r="H194" s="297"/>
      <c r="I194" s="297"/>
      <c r="J194" s="297"/>
      <c r="K194" s="299"/>
      <c r="L194" s="299"/>
      <c r="M194" s="299"/>
      <c r="N194" s="299"/>
      <c r="O194" s="299"/>
      <c r="P194" s="296"/>
    </row>
    <row r="195" spans="1:16" ht="18.75" customHeight="1" x14ac:dyDescent="0.3">
      <c r="A195" s="292"/>
      <c r="B195" s="379" t="s">
        <v>1154</v>
      </c>
      <c r="C195" s="293"/>
      <c r="D195" s="293"/>
      <c r="E195" s="293"/>
      <c r="F195" s="293"/>
      <c r="G195" s="293"/>
      <c r="H195" s="293"/>
      <c r="I195" s="293"/>
      <c r="J195" s="301"/>
      <c r="K195" s="298"/>
      <c r="L195" s="299"/>
      <c r="M195" s="298"/>
      <c r="N195" s="299"/>
      <c r="O195" s="299"/>
      <c r="P195" s="296"/>
    </row>
    <row r="196" spans="1:16" ht="9.75" customHeight="1" x14ac:dyDescent="0.3">
      <c r="A196" s="292"/>
      <c r="B196" s="379"/>
      <c r="C196" s="302"/>
      <c r="D196" s="302"/>
      <c r="E196" s="302"/>
      <c r="F196" s="302"/>
      <c r="G196" s="302"/>
      <c r="H196" s="302"/>
      <c r="I196" s="293"/>
      <c r="J196" s="301"/>
      <c r="K196" s="298"/>
      <c r="L196" s="299"/>
      <c r="M196" s="298"/>
      <c r="N196" s="299"/>
      <c r="O196" s="299"/>
      <c r="P196" s="296"/>
    </row>
    <row r="197" spans="1:16" ht="18.75" customHeight="1" x14ac:dyDescent="0.3">
      <c r="A197" s="292"/>
      <c r="B197" s="379" t="s">
        <v>1203</v>
      </c>
      <c r="C197" s="293"/>
      <c r="D197" s="293"/>
      <c r="E197" s="293"/>
      <c r="F197" s="293"/>
      <c r="G197" s="293"/>
      <c r="H197" s="293"/>
      <c r="I197" s="293"/>
      <c r="J197" s="301"/>
      <c r="K197" s="298"/>
      <c r="L197" s="299"/>
      <c r="M197" s="298"/>
      <c r="N197" s="299"/>
      <c r="O197" s="299"/>
      <c r="P197" s="296"/>
    </row>
    <row r="198" spans="1:16" ht="9.75" customHeight="1" x14ac:dyDescent="0.25">
      <c r="A198" s="244"/>
      <c r="B198" s="380"/>
      <c r="C198" s="249"/>
      <c r="D198" s="19"/>
      <c r="E198" s="249"/>
      <c r="F198" s="249"/>
      <c r="G198" s="249"/>
      <c r="H198" s="249"/>
      <c r="I198" s="249"/>
      <c r="J198" s="249"/>
      <c r="K198" s="273"/>
      <c r="L198" s="25"/>
      <c r="M198" s="25"/>
      <c r="N198" s="25"/>
      <c r="O198" s="25"/>
      <c r="P198" s="281"/>
    </row>
    <row r="199" spans="1:16" ht="17.399999999999999" x14ac:dyDescent="0.3">
      <c r="A199" s="244"/>
      <c r="B199" s="308" t="s">
        <v>1108</v>
      </c>
      <c r="C199" s="309"/>
      <c r="D199" s="310" t="s">
        <v>1109</v>
      </c>
      <c r="E199" s="309"/>
      <c r="F199" s="309"/>
      <c r="G199" s="309"/>
      <c r="H199" s="309"/>
      <c r="I199" s="311"/>
      <c r="J199" s="311"/>
      <c r="K199" s="389"/>
      <c r="L199" s="311"/>
      <c r="M199" s="312"/>
      <c r="N199" s="312"/>
      <c r="O199" s="390">
        <f>SUM(O184:O198)</f>
        <v>0</v>
      </c>
      <c r="P199" s="247"/>
    </row>
    <row r="200" spans="1:16" x14ac:dyDescent="0.25">
      <c r="A200" s="244"/>
      <c r="B200" s="257"/>
      <c r="C200" s="249"/>
      <c r="D200" s="19" t="s">
        <v>1133</v>
      </c>
      <c r="E200" s="249"/>
      <c r="F200" s="249"/>
      <c r="G200" s="249"/>
      <c r="H200" s="249"/>
      <c r="I200" s="249"/>
      <c r="J200" s="249"/>
      <c r="K200" s="273"/>
      <c r="L200" s="25"/>
      <c r="M200" s="25"/>
      <c r="N200" s="25"/>
      <c r="O200" s="25"/>
      <c r="P200" s="247"/>
    </row>
    <row r="201" spans="1:16" ht="8.25" customHeight="1" x14ac:dyDescent="0.25">
      <c r="A201" s="244"/>
      <c r="B201" s="257"/>
      <c r="C201" s="249"/>
      <c r="D201" s="19"/>
      <c r="E201" s="249"/>
      <c r="F201" s="249"/>
      <c r="G201" s="249"/>
      <c r="H201" s="249"/>
      <c r="I201" s="249"/>
      <c r="J201" s="249"/>
      <c r="K201" s="273"/>
      <c r="L201" s="25"/>
      <c r="M201" s="25"/>
      <c r="N201" s="25"/>
      <c r="O201" s="25"/>
      <c r="P201" s="247"/>
    </row>
    <row r="202" spans="1:16" ht="17.399999999999999" x14ac:dyDescent="0.3">
      <c r="A202" s="244"/>
      <c r="B202" s="308" t="s">
        <v>1134</v>
      </c>
      <c r="C202" s="309"/>
      <c r="D202" s="310" t="s">
        <v>1155</v>
      </c>
      <c r="E202" s="309"/>
      <c r="F202" s="309"/>
      <c r="G202" s="309"/>
      <c r="H202" s="309"/>
      <c r="I202" s="311"/>
      <c r="J202" s="311"/>
      <c r="K202" s="312"/>
      <c r="L202" s="311"/>
      <c r="M202" s="312"/>
      <c r="N202" s="312"/>
      <c r="O202" s="390">
        <f>O199+O183</f>
        <v>0</v>
      </c>
      <c r="P202" s="247"/>
    </row>
    <row r="203" spans="1:16" ht="7.5" customHeight="1" x14ac:dyDescent="0.25">
      <c r="A203" s="238"/>
      <c r="B203" s="283"/>
      <c r="C203" s="264"/>
      <c r="D203" s="265"/>
      <c r="E203" s="264"/>
      <c r="F203" s="264"/>
      <c r="G203" s="264"/>
      <c r="H203" s="264"/>
      <c r="I203" s="264"/>
      <c r="J203" s="264"/>
      <c r="K203" s="303"/>
      <c r="L203" s="268"/>
      <c r="M203" s="268"/>
      <c r="N203" s="268"/>
      <c r="O203" s="268"/>
      <c r="P203" s="3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8B678-9E06-4520-B2D8-0572BAF76FD8}">
  <dimension ref="A1:C385"/>
  <sheetViews>
    <sheetView topLeftCell="A244" workbookViewId="0">
      <selection activeCell="A256" sqref="A256"/>
    </sheetView>
  </sheetViews>
  <sheetFormatPr defaultRowHeight="13.2" x14ac:dyDescent="0.25"/>
  <sheetData>
    <row r="1" spans="1:3" x14ac:dyDescent="0.25">
      <c r="A1" t="s">
        <v>1416</v>
      </c>
    </row>
    <row r="2" spans="1:3" x14ac:dyDescent="0.25">
      <c r="A2">
        <f>VALUE(RIGHT(B2,4))</f>
        <v>2004</v>
      </c>
      <c r="B2">
        <v>3302004</v>
      </c>
      <c r="C2" t="s">
        <v>312</v>
      </c>
    </row>
    <row r="3" spans="1:3" x14ac:dyDescent="0.25">
      <c r="A3">
        <f t="shared" ref="A3:A66" si="0">VALUE(RIGHT(B3,4))</f>
        <v>2005</v>
      </c>
      <c r="B3">
        <v>3302005</v>
      </c>
      <c r="C3" t="s">
        <v>288</v>
      </c>
    </row>
    <row r="4" spans="1:3" x14ac:dyDescent="0.25">
      <c r="A4">
        <f t="shared" si="0"/>
        <v>2008</v>
      </c>
      <c r="B4">
        <v>3302008</v>
      </c>
      <c r="C4" t="s">
        <v>370</v>
      </c>
    </row>
    <row r="5" spans="1:3" x14ac:dyDescent="0.25">
      <c r="A5">
        <f t="shared" si="0"/>
        <v>2010</v>
      </c>
      <c r="B5">
        <v>3302010</v>
      </c>
      <c r="C5" t="s">
        <v>164</v>
      </c>
    </row>
    <row r="6" spans="1:3" x14ac:dyDescent="0.25">
      <c r="A6">
        <f t="shared" si="0"/>
        <v>2011</v>
      </c>
      <c r="B6">
        <v>3302011</v>
      </c>
      <c r="C6" t="s">
        <v>476</v>
      </c>
    </row>
    <row r="7" spans="1:3" x14ac:dyDescent="0.25">
      <c r="A7">
        <f t="shared" si="0"/>
        <v>2014</v>
      </c>
      <c r="B7">
        <v>3302014</v>
      </c>
      <c r="C7" t="s">
        <v>176</v>
      </c>
    </row>
    <row r="8" spans="1:3" x14ac:dyDescent="0.25">
      <c r="A8">
        <f t="shared" si="0"/>
        <v>2015</v>
      </c>
      <c r="B8">
        <v>3302015</v>
      </c>
      <c r="C8" t="s">
        <v>284</v>
      </c>
    </row>
    <row r="9" spans="1:3" x14ac:dyDescent="0.25">
      <c r="A9">
        <f t="shared" si="0"/>
        <v>2016</v>
      </c>
      <c r="B9">
        <v>3302016</v>
      </c>
      <c r="C9" t="s">
        <v>352</v>
      </c>
    </row>
    <row r="10" spans="1:3" x14ac:dyDescent="0.25">
      <c r="A10">
        <f t="shared" si="0"/>
        <v>2017</v>
      </c>
      <c r="B10">
        <v>3302017</v>
      </c>
      <c r="C10" t="s">
        <v>350</v>
      </c>
    </row>
    <row r="11" spans="1:3" x14ac:dyDescent="0.25">
      <c r="A11">
        <f t="shared" si="0"/>
        <v>2018</v>
      </c>
      <c r="B11">
        <v>3302018</v>
      </c>
      <c r="C11" t="s">
        <v>372</v>
      </c>
    </row>
    <row r="12" spans="1:3" x14ac:dyDescent="0.25">
      <c r="A12">
        <f t="shared" si="0"/>
        <v>2019</v>
      </c>
      <c r="B12">
        <v>3302019</v>
      </c>
      <c r="C12" t="s">
        <v>474</v>
      </c>
    </row>
    <row r="13" spans="1:3" x14ac:dyDescent="0.25">
      <c r="A13">
        <f t="shared" si="0"/>
        <v>2021</v>
      </c>
      <c r="B13">
        <v>3302021</v>
      </c>
      <c r="C13" t="s">
        <v>342</v>
      </c>
    </row>
    <row r="14" spans="1:3" x14ac:dyDescent="0.25">
      <c r="A14">
        <f t="shared" si="0"/>
        <v>2024</v>
      </c>
      <c r="B14">
        <v>3302024</v>
      </c>
      <c r="C14" t="s">
        <v>188</v>
      </c>
    </row>
    <row r="15" spans="1:3" x14ac:dyDescent="0.25">
      <c r="A15">
        <f t="shared" si="0"/>
        <v>2025</v>
      </c>
      <c r="B15">
        <v>3302025</v>
      </c>
      <c r="C15" t="s">
        <v>186</v>
      </c>
    </row>
    <row r="16" spans="1:3" x14ac:dyDescent="0.25">
      <c r="A16">
        <f t="shared" si="0"/>
        <v>2030</v>
      </c>
      <c r="B16">
        <v>3302030</v>
      </c>
      <c r="C16" t="s">
        <v>196</v>
      </c>
    </row>
    <row r="17" spans="1:3" x14ac:dyDescent="0.25">
      <c r="A17">
        <f t="shared" si="0"/>
        <v>2040</v>
      </c>
      <c r="B17">
        <v>3302040</v>
      </c>
      <c r="C17" t="s">
        <v>208</v>
      </c>
    </row>
    <row r="18" spans="1:3" x14ac:dyDescent="0.25">
      <c r="A18">
        <f t="shared" si="0"/>
        <v>2053</v>
      </c>
      <c r="B18">
        <v>3302053</v>
      </c>
      <c r="C18" t="s">
        <v>224</v>
      </c>
    </row>
    <row r="19" spans="1:3" x14ac:dyDescent="0.25">
      <c r="A19">
        <f t="shared" si="0"/>
        <v>2054</v>
      </c>
      <c r="B19">
        <v>3302054</v>
      </c>
      <c r="C19" t="s">
        <v>222</v>
      </c>
    </row>
    <row r="20" spans="1:3" x14ac:dyDescent="0.25">
      <c r="A20">
        <f t="shared" si="0"/>
        <v>2055</v>
      </c>
      <c r="B20">
        <v>3302055</v>
      </c>
      <c r="C20" t="s">
        <v>230</v>
      </c>
    </row>
    <row r="21" spans="1:3" x14ac:dyDescent="0.25">
      <c r="A21">
        <f t="shared" si="0"/>
        <v>2062</v>
      </c>
      <c r="B21">
        <v>3302062</v>
      </c>
      <c r="C21" t="s">
        <v>170</v>
      </c>
    </row>
    <row r="22" spans="1:3" x14ac:dyDescent="0.25">
      <c r="A22">
        <f t="shared" si="0"/>
        <v>2063</v>
      </c>
      <c r="B22">
        <v>3302063</v>
      </c>
      <c r="C22" t="s">
        <v>364</v>
      </c>
    </row>
    <row r="23" spans="1:3" x14ac:dyDescent="0.25">
      <c r="A23">
        <f t="shared" si="0"/>
        <v>2067</v>
      </c>
      <c r="B23">
        <v>3302067</v>
      </c>
      <c r="C23" t="s">
        <v>1207</v>
      </c>
    </row>
    <row r="24" spans="1:3" x14ac:dyDescent="0.25">
      <c r="A24">
        <f t="shared" si="0"/>
        <v>2079</v>
      </c>
      <c r="B24">
        <v>3302079</v>
      </c>
      <c r="C24" t="s">
        <v>246</v>
      </c>
    </row>
    <row r="25" spans="1:3" x14ac:dyDescent="0.25">
      <c r="A25">
        <f t="shared" si="0"/>
        <v>2081</v>
      </c>
      <c r="B25">
        <v>3302081</v>
      </c>
      <c r="C25" t="s">
        <v>248</v>
      </c>
    </row>
    <row r="26" spans="1:3" x14ac:dyDescent="0.25">
      <c r="A26">
        <f t="shared" si="0"/>
        <v>2087</v>
      </c>
      <c r="B26">
        <v>3302087</v>
      </c>
      <c r="C26" t="s">
        <v>252</v>
      </c>
    </row>
    <row r="27" spans="1:3" x14ac:dyDescent="0.25">
      <c r="A27">
        <f t="shared" si="0"/>
        <v>2091</v>
      </c>
      <c r="B27">
        <v>3302091</v>
      </c>
      <c r="C27" t="s">
        <v>258</v>
      </c>
    </row>
    <row r="28" spans="1:3" x14ac:dyDescent="0.25">
      <c r="A28">
        <f t="shared" si="0"/>
        <v>2092</v>
      </c>
      <c r="B28">
        <v>3302092</v>
      </c>
      <c r="C28" t="s">
        <v>262</v>
      </c>
    </row>
    <row r="29" spans="1:3" x14ac:dyDescent="0.25">
      <c r="A29">
        <f t="shared" si="0"/>
        <v>2093</v>
      </c>
      <c r="B29">
        <v>3302093</v>
      </c>
      <c r="C29" t="s">
        <v>260</v>
      </c>
    </row>
    <row r="30" spans="1:3" x14ac:dyDescent="0.25">
      <c r="A30">
        <f t="shared" si="0"/>
        <v>2097</v>
      </c>
      <c r="B30">
        <v>3302097</v>
      </c>
      <c r="C30" t="s">
        <v>354</v>
      </c>
    </row>
    <row r="31" spans="1:3" x14ac:dyDescent="0.25">
      <c r="A31">
        <f t="shared" si="0"/>
        <v>2099</v>
      </c>
      <c r="B31">
        <v>3302099</v>
      </c>
      <c r="C31" t="s">
        <v>268</v>
      </c>
    </row>
    <row r="32" spans="1:3" x14ac:dyDescent="0.25">
      <c r="A32">
        <f t="shared" si="0"/>
        <v>2108</v>
      </c>
      <c r="B32">
        <v>3302108</v>
      </c>
      <c r="C32" t="s">
        <v>464</v>
      </c>
    </row>
    <row r="33" spans="1:3" x14ac:dyDescent="0.25">
      <c r="A33">
        <f t="shared" si="0"/>
        <v>2115</v>
      </c>
      <c r="B33">
        <v>3302115</v>
      </c>
      <c r="C33" t="s">
        <v>292</v>
      </c>
    </row>
    <row r="34" spans="1:3" x14ac:dyDescent="0.25">
      <c r="A34">
        <f t="shared" si="0"/>
        <v>2118</v>
      </c>
      <c r="B34">
        <v>3302118</v>
      </c>
      <c r="C34" t="s">
        <v>1208</v>
      </c>
    </row>
    <row r="35" spans="1:3" x14ac:dyDescent="0.25">
      <c r="A35">
        <f t="shared" si="0"/>
        <v>2119</v>
      </c>
      <c r="B35">
        <v>3302119</v>
      </c>
      <c r="C35" t="s">
        <v>300</v>
      </c>
    </row>
    <row r="36" spans="1:3" x14ac:dyDescent="0.25">
      <c r="A36">
        <f t="shared" si="0"/>
        <v>2127</v>
      </c>
      <c r="B36">
        <v>3302127</v>
      </c>
      <c r="C36" t="s">
        <v>304</v>
      </c>
    </row>
    <row r="37" spans="1:3" x14ac:dyDescent="0.25">
      <c r="A37">
        <f t="shared" si="0"/>
        <v>2128</v>
      </c>
      <c r="B37">
        <v>3302128</v>
      </c>
      <c r="C37" t="s">
        <v>308</v>
      </c>
    </row>
    <row r="38" spans="1:3" x14ac:dyDescent="0.25">
      <c r="A38">
        <f t="shared" si="0"/>
        <v>2129</v>
      </c>
      <c r="B38">
        <v>3302129</v>
      </c>
      <c r="C38" t="s">
        <v>306</v>
      </c>
    </row>
    <row r="39" spans="1:3" x14ac:dyDescent="0.25">
      <c r="A39">
        <f t="shared" si="0"/>
        <v>2133</v>
      </c>
      <c r="B39">
        <v>3302133</v>
      </c>
      <c r="C39" t="s">
        <v>314</v>
      </c>
    </row>
    <row r="40" spans="1:3" x14ac:dyDescent="0.25">
      <c r="A40">
        <f t="shared" si="0"/>
        <v>2142</v>
      </c>
      <c r="B40">
        <v>3302142</v>
      </c>
      <c r="C40" t="s">
        <v>326</v>
      </c>
    </row>
    <row r="41" spans="1:3" x14ac:dyDescent="0.25">
      <c r="A41">
        <f t="shared" si="0"/>
        <v>2149</v>
      </c>
      <c r="B41">
        <v>3302149</v>
      </c>
      <c r="C41" t="s">
        <v>344</v>
      </c>
    </row>
    <row r="42" spans="1:3" x14ac:dyDescent="0.25">
      <c r="A42">
        <f t="shared" si="0"/>
        <v>2150</v>
      </c>
      <c r="B42">
        <v>3302150</v>
      </c>
      <c r="C42" t="s">
        <v>346</v>
      </c>
    </row>
    <row r="43" spans="1:3" x14ac:dyDescent="0.25">
      <c r="A43">
        <f t="shared" si="0"/>
        <v>2153</v>
      </c>
      <c r="B43">
        <v>3302153</v>
      </c>
      <c r="C43" t="s">
        <v>168</v>
      </c>
    </row>
    <row r="44" spans="1:3" x14ac:dyDescent="0.25">
      <c r="A44">
        <f t="shared" si="0"/>
        <v>2157</v>
      </c>
      <c r="B44">
        <v>3302157</v>
      </c>
      <c r="C44" t="s">
        <v>356</v>
      </c>
    </row>
    <row r="45" spans="1:3" x14ac:dyDescent="0.25">
      <c r="A45">
        <f t="shared" si="0"/>
        <v>2159</v>
      </c>
      <c r="B45">
        <v>3302159</v>
      </c>
      <c r="C45" t="s">
        <v>358</v>
      </c>
    </row>
    <row r="46" spans="1:3" x14ac:dyDescent="0.25">
      <c r="A46">
        <f t="shared" si="0"/>
        <v>2160</v>
      </c>
      <c r="B46">
        <v>3302160</v>
      </c>
      <c r="C46" t="s">
        <v>362</v>
      </c>
    </row>
    <row r="47" spans="1:3" x14ac:dyDescent="0.25">
      <c r="A47">
        <f t="shared" si="0"/>
        <v>2161</v>
      </c>
      <c r="B47">
        <v>3302161</v>
      </c>
      <c r="C47" t="s">
        <v>360</v>
      </c>
    </row>
    <row r="48" spans="1:3" x14ac:dyDescent="0.25">
      <c r="A48">
        <f t="shared" si="0"/>
        <v>2169</v>
      </c>
      <c r="B48">
        <v>3302169</v>
      </c>
      <c r="C48" t="s">
        <v>368</v>
      </c>
    </row>
    <row r="49" spans="1:3" x14ac:dyDescent="0.25">
      <c r="A49">
        <f t="shared" si="0"/>
        <v>2174</v>
      </c>
      <c r="B49">
        <v>3302174</v>
      </c>
      <c r="C49" t="s">
        <v>374</v>
      </c>
    </row>
    <row r="50" spans="1:3" x14ac:dyDescent="0.25">
      <c r="A50">
        <f t="shared" si="0"/>
        <v>2176</v>
      </c>
      <c r="B50">
        <v>3302176</v>
      </c>
      <c r="C50" t="s">
        <v>376</v>
      </c>
    </row>
    <row r="51" spans="1:3" x14ac:dyDescent="0.25">
      <c r="A51">
        <f t="shared" si="0"/>
        <v>2178</v>
      </c>
      <c r="B51">
        <v>3302178</v>
      </c>
      <c r="C51" t="s">
        <v>449</v>
      </c>
    </row>
    <row r="52" spans="1:3" x14ac:dyDescent="0.25">
      <c r="A52">
        <f t="shared" si="0"/>
        <v>2183</v>
      </c>
      <c r="B52">
        <v>3302183</v>
      </c>
      <c r="C52" t="s">
        <v>1209</v>
      </c>
    </row>
    <row r="53" spans="1:3" x14ac:dyDescent="0.25">
      <c r="A53">
        <f t="shared" si="0"/>
        <v>2184</v>
      </c>
      <c r="B53">
        <v>3302184</v>
      </c>
      <c r="C53" t="s">
        <v>452</v>
      </c>
    </row>
    <row r="54" spans="1:3" x14ac:dyDescent="0.25">
      <c r="A54">
        <f t="shared" si="0"/>
        <v>2185</v>
      </c>
      <c r="B54">
        <v>3302185</v>
      </c>
      <c r="C54" t="s">
        <v>220</v>
      </c>
    </row>
    <row r="55" spans="1:3" x14ac:dyDescent="0.25">
      <c r="A55">
        <f t="shared" si="0"/>
        <v>2189</v>
      </c>
      <c r="B55">
        <v>3302189</v>
      </c>
      <c r="C55" t="s">
        <v>298</v>
      </c>
    </row>
    <row r="56" spans="1:3" x14ac:dyDescent="0.25">
      <c r="A56">
        <f t="shared" si="0"/>
        <v>2190</v>
      </c>
      <c r="B56">
        <v>3302190</v>
      </c>
      <c r="C56" t="s">
        <v>456</v>
      </c>
    </row>
    <row r="57" spans="1:3" x14ac:dyDescent="0.25">
      <c r="A57">
        <f t="shared" si="0"/>
        <v>2191</v>
      </c>
      <c r="B57">
        <v>3302191</v>
      </c>
      <c r="C57" t="s">
        <v>232</v>
      </c>
    </row>
    <row r="58" spans="1:3" x14ac:dyDescent="0.25">
      <c r="A58">
        <f t="shared" si="0"/>
        <v>2192</v>
      </c>
      <c r="B58">
        <v>3302192</v>
      </c>
      <c r="C58" t="s">
        <v>458</v>
      </c>
    </row>
    <row r="59" spans="1:3" x14ac:dyDescent="0.25">
      <c r="A59">
        <f t="shared" si="0"/>
        <v>2225</v>
      </c>
      <c r="B59">
        <v>3302225</v>
      </c>
      <c r="C59" t="s">
        <v>490</v>
      </c>
    </row>
    <row r="60" spans="1:3" x14ac:dyDescent="0.25">
      <c r="A60">
        <f t="shared" si="0"/>
        <v>2227</v>
      </c>
      <c r="B60">
        <v>3302227</v>
      </c>
      <c r="C60" t="s">
        <v>496</v>
      </c>
    </row>
    <row r="61" spans="1:3" x14ac:dyDescent="0.25">
      <c r="A61">
        <f t="shared" si="0"/>
        <v>2231</v>
      </c>
      <c r="B61">
        <v>3302231</v>
      </c>
      <c r="C61" t="s">
        <v>498</v>
      </c>
    </row>
    <row r="62" spans="1:3" x14ac:dyDescent="0.25">
      <c r="A62">
        <f t="shared" si="0"/>
        <v>2236</v>
      </c>
      <c r="B62">
        <v>3302236</v>
      </c>
      <c r="C62" t="s">
        <v>202</v>
      </c>
    </row>
    <row r="63" spans="1:3" x14ac:dyDescent="0.25">
      <c r="A63">
        <f t="shared" si="0"/>
        <v>2238</v>
      </c>
      <c r="B63">
        <v>3302238</v>
      </c>
      <c r="C63" t="s">
        <v>200</v>
      </c>
    </row>
    <row r="64" spans="1:3" x14ac:dyDescent="0.25">
      <c r="A64">
        <f t="shared" si="0"/>
        <v>2239</v>
      </c>
      <c r="B64">
        <v>3302239</v>
      </c>
      <c r="C64" t="s">
        <v>178</v>
      </c>
    </row>
    <row r="65" spans="1:3" x14ac:dyDescent="0.25">
      <c r="A65">
        <f t="shared" si="0"/>
        <v>2241</v>
      </c>
      <c r="B65">
        <v>3302241</v>
      </c>
      <c r="C65" t="s">
        <v>180</v>
      </c>
    </row>
    <row r="66" spans="1:3" x14ac:dyDescent="0.25">
      <c r="A66">
        <f t="shared" si="0"/>
        <v>2245</v>
      </c>
      <c r="B66">
        <v>3302245</v>
      </c>
      <c r="C66" t="s">
        <v>472</v>
      </c>
    </row>
    <row r="67" spans="1:3" x14ac:dyDescent="0.25">
      <c r="A67">
        <f t="shared" ref="A67:A130" si="1">VALUE(RIGHT(B67,4))</f>
        <v>2246</v>
      </c>
      <c r="B67">
        <v>3302246</v>
      </c>
      <c r="C67" t="s">
        <v>318</v>
      </c>
    </row>
    <row r="68" spans="1:3" x14ac:dyDescent="0.25">
      <c r="A68">
        <f t="shared" si="1"/>
        <v>2251</v>
      </c>
      <c r="B68">
        <v>3302251</v>
      </c>
      <c r="C68" t="s">
        <v>210</v>
      </c>
    </row>
    <row r="69" spans="1:3" x14ac:dyDescent="0.25">
      <c r="A69">
        <f t="shared" si="1"/>
        <v>2254</v>
      </c>
      <c r="B69">
        <v>3302254</v>
      </c>
      <c r="C69" t="s">
        <v>190</v>
      </c>
    </row>
    <row r="70" spans="1:3" x14ac:dyDescent="0.25">
      <c r="A70">
        <f t="shared" si="1"/>
        <v>2278</v>
      </c>
      <c r="B70">
        <v>3302278</v>
      </c>
      <c r="C70" t="s">
        <v>484</v>
      </c>
    </row>
    <row r="71" spans="1:3" x14ac:dyDescent="0.25">
      <c r="A71">
        <f t="shared" si="1"/>
        <v>2284</v>
      </c>
      <c r="B71">
        <v>3302284</v>
      </c>
      <c r="C71" t="s">
        <v>234</v>
      </c>
    </row>
    <row r="72" spans="1:3" x14ac:dyDescent="0.25">
      <c r="A72">
        <f t="shared" si="1"/>
        <v>2288</v>
      </c>
      <c r="B72">
        <v>3302288</v>
      </c>
      <c r="C72" t="s">
        <v>280</v>
      </c>
    </row>
    <row r="73" spans="1:3" x14ac:dyDescent="0.25">
      <c r="A73">
        <f t="shared" si="1"/>
        <v>2289</v>
      </c>
      <c r="B73">
        <v>3302289</v>
      </c>
      <c r="C73" t="s">
        <v>218</v>
      </c>
    </row>
    <row r="74" spans="1:3" x14ac:dyDescent="0.25">
      <c r="A74">
        <f t="shared" si="1"/>
        <v>2293</v>
      </c>
      <c r="B74">
        <v>3302293</v>
      </c>
      <c r="C74" t="s">
        <v>480</v>
      </c>
    </row>
    <row r="75" spans="1:3" x14ac:dyDescent="0.25">
      <c r="A75">
        <f t="shared" si="1"/>
        <v>2294</v>
      </c>
      <c r="B75">
        <v>3302294</v>
      </c>
      <c r="C75" t="s">
        <v>240</v>
      </c>
    </row>
    <row r="76" spans="1:3" x14ac:dyDescent="0.25">
      <c r="A76">
        <f t="shared" si="1"/>
        <v>2296</v>
      </c>
      <c r="B76">
        <v>3302296</v>
      </c>
      <c r="C76" t="s">
        <v>250</v>
      </c>
    </row>
    <row r="77" spans="1:3" x14ac:dyDescent="0.25">
      <c r="A77">
        <f t="shared" si="1"/>
        <v>2300</v>
      </c>
      <c r="B77">
        <v>3302300</v>
      </c>
      <c r="C77" t="s">
        <v>174</v>
      </c>
    </row>
    <row r="78" spans="1:3" x14ac:dyDescent="0.25">
      <c r="A78">
        <f t="shared" si="1"/>
        <v>2306</v>
      </c>
      <c r="B78">
        <v>3302306</v>
      </c>
      <c r="C78" t="s">
        <v>466</v>
      </c>
    </row>
    <row r="79" spans="1:3" x14ac:dyDescent="0.25">
      <c r="A79">
        <f t="shared" si="1"/>
        <v>2308</v>
      </c>
      <c r="B79">
        <v>3302308</v>
      </c>
      <c r="C79" t="s">
        <v>470</v>
      </c>
    </row>
    <row r="80" spans="1:3" x14ac:dyDescent="0.25">
      <c r="A80">
        <f t="shared" si="1"/>
        <v>2312</v>
      </c>
      <c r="B80">
        <v>3302312</v>
      </c>
      <c r="C80" t="s">
        <v>206</v>
      </c>
    </row>
    <row r="81" spans="1:3" x14ac:dyDescent="0.25">
      <c r="A81">
        <f t="shared" si="1"/>
        <v>2313</v>
      </c>
      <c r="B81">
        <v>3302313</v>
      </c>
      <c r="C81" t="s">
        <v>270</v>
      </c>
    </row>
    <row r="82" spans="1:3" x14ac:dyDescent="0.25">
      <c r="A82">
        <f t="shared" si="1"/>
        <v>2314</v>
      </c>
      <c r="B82">
        <v>3302314</v>
      </c>
      <c r="C82" t="s">
        <v>486</v>
      </c>
    </row>
    <row r="83" spans="1:3" x14ac:dyDescent="0.25">
      <c r="A83">
        <f t="shared" si="1"/>
        <v>2317</v>
      </c>
      <c r="B83">
        <v>3302317</v>
      </c>
      <c r="C83" t="s">
        <v>488</v>
      </c>
    </row>
    <row r="84" spans="1:3" x14ac:dyDescent="0.25">
      <c r="A84">
        <f t="shared" si="1"/>
        <v>2321</v>
      </c>
      <c r="B84">
        <v>3302321</v>
      </c>
      <c r="C84" t="s">
        <v>1210</v>
      </c>
    </row>
    <row r="85" spans="1:3" x14ac:dyDescent="0.25">
      <c r="A85">
        <f t="shared" si="1"/>
        <v>2401</v>
      </c>
      <c r="B85">
        <v>3302401</v>
      </c>
      <c r="C85" t="s">
        <v>194</v>
      </c>
    </row>
    <row r="86" spans="1:3" x14ac:dyDescent="0.25">
      <c r="A86">
        <f t="shared" si="1"/>
        <v>2402</v>
      </c>
      <c r="B86">
        <v>3302402</v>
      </c>
      <c r="C86" t="s">
        <v>192</v>
      </c>
    </row>
    <row r="87" spans="1:3" x14ac:dyDescent="0.25">
      <c r="A87">
        <f t="shared" si="1"/>
        <v>2406</v>
      </c>
      <c r="B87">
        <v>3302406</v>
      </c>
      <c r="C87" t="s">
        <v>320</v>
      </c>
    </row>
    <row r="88" spans="1:3" x14ac:dyDescent="0.25">
      <c r="A88">
        <f t="shared" si="1"/>
        <v>2412</v>
      </c>
      <c r="B88">
        <v>3302412</v>
      </c>
      <c r="C88" t="s">
        <v>492</v>
      </c>
    </row>
    <row r="89" spans="1:3" x14ac:dyDescent="0.25">
      <c r="A89">
        <f t="shared" si="1"/>
        <v>2416</v>
      </c>
      <c r="B89">
        <v>3302416</v>
      </c>
      <c r="C89" t="s">
        <v>322</v>
      </c>
    </row>
    <row r="90" spans="1:3" x14ac:dyDescent="0.25">
      <c r="A90">
        <f t="shared" si="1"/>
        <v>2420</v>
      </c>
      <c r="B90">
        <v>3302420</v>
      </c>
      <c r="C90" t="s">
        <v>310</v>
      </c>
    </row>
    <row r="91" spans="1:3" x14ac:dyDescent="0.25">
      <c r="A91">
        <f t="shared" si="1"/>
        <v>2425</v>
      </c>
      <c r="B91">
        <v>3302425</v>
      </c>
      <c r="C91" t="s">
        <v>348</v>
      </c>
    </row>
    <row r="92" spans="1:3" x14ac:dyDescent="0.25">
      <c r="A92">
        <f t="shared" si="1"/>
        <v>2429</v>
      </c>
      <c r="B92">
        <v>3302429</v>
      </c>
      <c r="C92" t="s">
        <v>274</v>
      </c>
    </row>
    <row r="93" spans="1:3" x14ac:dyDescent="0.25">
      <c r="A93">
        <f t="shared" si="1"/>
        <v>2435</v>
      </c>
      <c r="B93">
        <v>3302435</v>
      </c>
      <c r="C93" t="s">
        <v>184</v>
      </c>
    </row>
    <row r="94" spans="1:3" x14ac:dyDescent="0.25">
      <c r="A94">
        <f t="shared" si="1"/>
        <v>2438</v>
      </c>
      <c r="B94">
        <v>3302438</v>
      </c>
      <c r="C94" t="s">
        <v>272</v>
      </c>
    </row>
    <row r="95" spans="1:3" x14ac:dyDescent="0.25">
      <c r="A95">
        <f t="shared" si="1"/>
        <v>2441</v>
      </c>
      <c r="B95">
        <v>3302441</v>
      </c>
      <c r="C95" t="s">
        <v>294</v>
      </c>
    </row>
    <row r="96" spans="1:3" x14ac:dyDescent="0.25">
      <c r="A96">
        <f t="shared" si="1"/>
        <v>2445</v>
      </c>
      <c r="B96">
        <v>3302445</v>
      </c>
      <c r="C96" t="s">
        <v>482</v>
      </c>
    </row>
    <row r="97" spans="1:3" x14ac:dyDescent="0.25">
      <c r="A97">
        <f t="shared" si="1"/>
        <v>2454</v>
      </c>
      <c r="B97">
        <v>3302454</v>
      </c>
      <c r="C97" t="s">
        <v>236</v>
      </c>
    </row>
    <row r="98" spans="1:3" x14ac:dyDescent="0.25">
      <c r="A98">
        <f t="shared" si="1"/>
        <v>2456</v>
      </c>
      <c r="B98">
        <v>3302456</v>
      </c>
      <c r="C98" t="s">
        <v>182</v>
      </c>
    </row>
    <row r="99" spans="1:3" x14ac:dyDescent="0.25">
      <c r="A99">
        <f t="shared" si="1"/>
        <v>2457</v>
      </c>
      <c r="B99">
        <v>3302457</v>
      </c>
      <c r="C99" t="s">
        <v>328</v>
      </c>
    </row>
    <row r="100" spans="1:3" x14ac:dyDescent="0.25">
      <c r="A100">
        <f t="shared" si="1"/>
        <v>2462</v>
      </c>
      <c r="B100">
        <v>3302462</v>
      </c>
      <c r="C100" t="s">
        <v>302</v>
      </c>
    </row>
    <row r="101" spans="1:3" x14ac:dyDescent="0.25">
      <c r="A101">
        <f t="shared" si="1"/>
        <v>2464</v>
      </c>
      <c r="B101">
        <v>3302464</v>
      </c>
      <c r="C101" t="s">
        <v>226</v>
      </c>
    </row>
    <row r="102" spans="1:3" x14ac:dyDescent="0.25">
      <c r="A102">
        <f t="shared" si="1"/>
        <v>2465</v>
      </c>
      <c r="B102">
        <v>3302465</v>
      </c>
      <c r="C102" t="s">
        <v>204</v>
      </c>
    </row>
    <row r="103" spans="1:3" x14ac:dyDescent="0.25">
      <c r="A103">
        <f t="shared" si="1"/>
        <v>2466</v>
      </c>
      <c r="B103">
        <v>3302466</v>
      </c>
      <c r="C103" t="s">
        <v>254</v>
      </c>
    </row>
    <row r="104" spans="1:3" x14ac:dyDescent="0.25">
      <c r="A104">
        <f t="shared" si="1"/>
        <v>2469</v>
      </c>
      <c r="B104">
        <v>3302469</v>
      </c>
      <c r="C104" t="s">
        <v>330</v>
      </c>
    </row>
    <row r="105" spans="1:3" x14ac:dyDescent="0.25">
      <c r="A105">
        <f t="shared" si="1"/>
        <v>2474</v>
      </c>
      <c r="B105">
        <v>3302474</v>
      </c>
      <c r="C105" t="s">
        <v>278</v>
      </c>
    </row>
    <row r="106" spans="1:3" x14ac:dyDescent="0.25">
      <c r="A106">
        <f t="shared" si="1"/>
        <v>2477</v>
      </c>
      <c r="B106">
        <v>3302477</v>
      </c>
      <c r="C106" t="s">
        <v>264</v>
      </c>
    </row>
    <row r="107" spans="1:3" x14ac:dyDescent="0.25">
      <c r="A107">
        <f t="shared" si="1"/>
        <v>2478</v>
      </c>
      <c r="B107">
        <v>3302478</v>
      </c>
      <c r="C107" t="s">
        <v>478</v>
      </c>
    </row>
    <row r="108" spans="1:3" x14ac:dyDescent="0.25">
      <c r="A108">
        <f t="shared" si="1"/>
        <v>2479</v>
      </c>
      <c r="B108">
        <v>3302479</v>
      </c>
      <c r="C108" t="s">
        <v>172</v>
      </c>
    </row>
    <row r="109" spans="1:3" x14ac:dyDescent="0.25">
      <c r="A109">
        <f t="shared" si="1"/>
        <v>2482</v>
      </c>
      <c r="B109">
        <v>3302482</v>
      </c>
      <c r="C109" t="s">
        <v>468</v>
      </c>
    </row>
    <row r="110" spans="1:3" x14ac:dyDescent="0.25">
      <c r="A110">
        <f t="shared" si="1"/>
        <v>2486</v>
      </c>
      <c r="B110">
        <v>3302486</v>
      </c>
      <c r="C110" t="s">
        <v>244</v>
      </c>
    </row>
    <row r="111" spans="1:3" x14ac:dyDescent="0.25">
      <c r="A111">
        <f t="shared" si="1"/>
        <v>3002</v>
      </c>
      <c r="B111">
        <v>3303002</v>
      </c>
      <c r="C111" t="s">
        <v>214</v>
      </c>
    </row>
    <row r="112" spans="1:3" x14ac:dyDescent="0.25">
      <c r="A112">
        <f t="shared" si="1"/>
        <v>3003</v>
      </c>
      <c r="B112">
        <v>3303003</v>
      </c>
      <c r="C112" t="s">
        <v>324</v>
      </c>
    </row>
    <row r="113" spans="1:3" x14ac:dyDescent="0.25">
      <c r="A113">
        <f t="shared" si="1"/>
        <v>3010</v>
      </c>
      <c r="B113">
        <v>3303010</v>
      </c>
      <c r="C113" t="s">
        <v>410</v>
      </c>
    </row>
    <row r="114" spans="1:3" x14ac:dyDescent="0.25">
      <c r="A114">
        <f t="shared" si="1"/>
        <v>3016</v>
      </c>
      <c r="B114">
        <v>3303016</v>
      </c>
      <c r="C114" t="s">
        <v>433</v>
      </c>
    </row>
    <row r="115" spans="1:3" x14ac:dyDescent="0.25">
      <c r="A115">
        <f t="shared" si="1"/>
        <v>3019</v>
      </c>
      <c r="B115">
        <v>3303019</v>
      </c>
      <c r="C115" t="s">
        <v>441</v>
      </c>
    </row>
    <row r="116" spans="1:3" x14ac:dyDescent="0.25">
      <c r="A116">
        <f t="shared" si="1"/>
        <v>3025</v>
      </c>
      <c r="B116">
        <v>3303025</v>
      </c>
      <c r="C116" t="s">
        <v>429</v>
      </c>
    </row>
    <row r="117" spans="1:3" x14ac:dyDescent="0.25">
      <c r="A117">
        <f t="shared" si="1"/>
        <v>3307</v>
      </c>
      <c r="B117">
        <v>3303307</v>
      </c>
      <c r="C117" t="s">
        <v>421</v>
      </c>
    </row>
    <row r="118" spans="1:3" x14ac:dyDescent="0.25">
      <c r="A118">
        <f t="shared" si="1"/>
        <v>3310</v>
      </c>
      <c r="B118">
        <v>3303310</v>
      </c>
      <c r="C118" t="s">
        <v>445</v>
      </c>
    </row>
    <row r="119" spans="1:3" x14ac:dyDescent="0.25">
      <c r="A119">
        <f t="shared" si="1"/>
        <v>3317</v>
      </c>
      <c r="B119">
        <v>3303317</v>
      </c>
      <c r="C119" t="s">
        <v>282</v>
      </c>
    </row>
    <row r="120" spans="1:3" x14ac:dyDescent="0.25">
      <c r="A120">
        <f t="shared" si="1"/>
        <v>3319</v>
      </c>
      <c r="B120">
        <v>3303319</v>
      </c>
      <c r="C120" t="s">
        <v>212</v>
      </c>
    </row>
    <row r="121" spans="1:3" x14ac:dyDescent="0.25">
      <c r="A121">
        <f t="shared" si="1"/>
        <v>3320</v>
      </c>
      <c r="B121">
        <v>3303320</v>
      </c>
      <c r="C121" t="s">
        <v>228</v>
      </c>
    </row>
    <row r="122" spans="1:3" x14ac:dyDescent="0.25">
      <c r="A122">
        <f t="shared" si="1"/>
        <v>3321</v>
      </c>
      <c r="B122">
        <v>3303321</v>
      </c>
      <c r="C122" t="s">
        <v>238</v>
      </c>
    </row>
    <row r="123" spans="1:3" x14ac:dyDescent="0.25">
      <c r="A123">
        <f t="shared" si="1"/>
        <v>3322</v>
      </c>
      <c r="B123">
        <v>3303322</v>
      </c>
      <c r="C123" t="s">
        <v>316</v>
      </c>
    </row>
    <row r="124" spans="1:3" x14ac:dyDescent="0.25">
      <c r="A124">
        <f t="shared" si="1"/>
        <v>3323</v>
      </c>
      <c r="B124">
        <v>3303323</v>
      </c>
      <c r="C124" t="s">
        <v>332</v>
      </c>
    </row>
    <row r="125" spans="1:3" x14ac:dyDescent="0.25">
      <c r="A125">
        <f t="shared" si="1"/>
        <v>3328</v>
      </c>
      <c r="B125">
        <v>3303328</v>
      </c>
      <c r="C125" t="s">
        <v>1211</v>
      </c>
    </row>
    <row r="126" spans="1:3" x14ac:dyDescent="0.25">
      <c r="A126">
        <f t="shared" si="1"/>
        <v>3329</v>
      </c>
      <c r="B126">
        <v>3303329</v>
      </c>
      <c r="C126" t="s">
        <v>384</v>
      </c>
    </row>
    <row r="127" spans="1:3" x14ac:dyDescent="0.25">
      <c r="A127">
        <f t="shared" si="1"/>
        <v>3331</v>
      </c>
      <c r="B127">
        <v>3303331</v>
      </c>
      <c r="C127" t="s">
        <v>392</v>
      </c>
    </row>
    <row r="128" spans="1:3" x14ac:dyDescent="0.25">
      <c r="A128">
        <f t="shared" si="1"/>
        <v>3335</v>
      </c>
      <c r="B128">
        <v>3303335</v>
      </c>
      <c r="C128" t="s">
        <v>382</v>
      </c>
    </row>
    <row r="129" spans="1:3" x14ac:dyDescent="0.25">
      <c r="A129">
        <f t="shared" si="1"/>
        <v>3342</v>
      </c>
      <c r="B129">
        <v>3303342</v>
      </c>
      <c r="C129" t="s">
        <v>406</v>
      </c>
    </row>
    <row r="130" spans="1:3" x14ac:dyDescent="0.25">
      <c r="A130">
        <f t="shared" si="1"/>
        <v>3344</v>
      </c>
      <c r="B130">
        <v>3303344</v>
      </c>
      <c r="C130" t="s">
        <v>431</v>
      </c>
    </row>
    <row r="131" spans="1:3" x14ac:dyDescent="0.25">
      <c r="A131">
        <f t="shared" ref="A131:A194" si="2">VALUE(RIGHT(B131,4))</f>
        <v>3346</v>
      </c>
      <c r="B131">
        <v>3303346</v>
      </c>
      <c r="C131" t="s">
        <v>435</v>
      </c>
    </row>
    <row r="132" spans="1:3" x14ac:dyDescent="0.25">
      <c r="A132">
        <f t="shared" si="2"/>
        <v>3347</v>
      </c>
      <c r="B132">
        <v>3303347</v>
      </c>
      <c r="C132" t="s">
        <v>402</v>
      </c>
    </row>
    <row r="133" spans="1:3" x14ac:dyDescent="0.25">
      <c r="A133">
        <f t="shared" si="2"/>
        <v>3351</v>
      </c>
      <c r="B133">
        <v>3303351</v>
      </c>
      <c r="C133" t="s">
        <v>336</v>
      </c>
    </row>
    <row r="134" spans="1:3" x14ac:dyDescent="0.25">
      <c r="A134">
        <f t="shared" si="2"/>
        <v>3352</v>
      </c>
      <c r="B134">
        <v>3303352</v>
      </c>
      <c r="C134" t="s">
        <v>286</v>
      </c>
    </row>
    <row r="135" spans="1:3" x14ac:dyDescent="0.25">
      <c r="A135">
        <f t="shared" si="2"/>
        <v>3353</v>
      </c>
      <c r="B135">
        <v>3303353</v>
      </c>
      <c r="C135" t="s">
        <v>198</v>
      </c>
    </row>
    <row r="136" spans="1:3" x14ac:dyDescent="0.25">
      <c r="A136">
        <f t="shared" si="2"/>
        <v>3355</v>
      </c>
      <c r="B136">
        <v>3303355</v>
      </c>
      <c r="C136" t="s">
        <v>404</v>
      </c>
    </row>
    <row r="137" spans="1:3" x14ac:dyDescent="0.25">
      <c r="A137">
        <f t="shared" si="2"/>
        <v>3361</v>
      </c>
      <c r="B137">
        <v>3303361</v>
      </c>
      <c r="C137" t="s">
        <v>1212</v>
      </c>
    </row>
    <row r="138" spans="1:3" x14ac:dyDescent="0.25">
      <c r="A138">
        <f t="shared" si="2"/>
        <v>3363</v>
      </c>
      <c r="B138">
        <v>3303363</v>
      </c>
      <c r="C138" t="s">
        <v>400</v>
      </c>
    </row>
    <row r="139" spans="1:3" x14ac:dyDescent="0.25">
      <c r="A139">
        <f t="shared" si="2"/>
        <v>3365</v>
      </c>
      <c r="B139">
        <v>3303365</v>
      </c>
      <c r="C139" t="s">
        <v>443</v>
      </c>
    </row>
    <row r="140" spans="1:3" x14ac:dyDescent="0.25">
      <c r="A140">
        <f t="shared" si="2"/>
        <v>3367</v>
      </c>
      <c r="B140">
        <v>3303367</v>
      </c>
      <c r="C140" t="s">
        <v>1213</v>
      </c>
    </row>
    <row r="141" spans="1:3" x14ac:dyDescent="0.25">
      <c r="A141">
        <f t="shared" si="2"/>
        <v>3371</v>
      </c>
      <c r="B141">
        <v>3303371</v>
      </c>
      <c r="C141" t="s">
        <v>419</v>
      </c>
    </row>
    <row r="142" spans="1:3" x14ac:dyDescent="0.25">
      <c r="A142">
        <f t="shared" si="2"/>
        <v>3372</v>
      </c>
      <c r="B142">
        <v>3303372</v>
      </c>
      <c r="C142" t="s">
        <v>388</v>
      </c>
    </row>
    <row r="143" spans="1:3" x14ac:dyDescent="0.25">
      <c r="A143">
        <f t="shared" si="2"/>
        <v>3375</v>
      </c>
      <c r="B143">
        <v>3303375</v>
      </c>
      <c r="C143" t="s">
        <v>390</v>
      </c>
    </row>
    <row r="144" spans="1:3" x14ac:dyDescent="0.25">
      <c r="A144">
        <f t="shared" si="2"/>
        <v>3377</v>
      </c>
      <c r="B144">
        <v>3303377</v>
      </c>
      <c r="C144" t="s">
        <v>417</v>
      </c>
    </row>
    <row r="145" spans="1:3" x14ac:dyDescent="0.25">
      <c r="A145">
        <f t="shared" si="2"/>
        <v>3380</v>
      </c>
      <c r="B145">
        <v>3303380</v>
      </c>
      <c r="C145" t="s">
        <v>380</v>
      </c>
    </row>
    <row r="146" spans="1:3" x14ac:dyDescent="0.25">
      <c r="A146">
        <f t="shared" si="2"/>
        <v>3381</v>
      </c>
      <c r="B146">
        <v>3303381</v>
      </c>
      <c r="C146" t="s">
        <v>378</v>
      </c>
    </row>
    <row r="147" spans="1:3" x14ac:dyDescent="0.25">
      <c r="A147">
        <f t="shared" si="2"/>
        <v>3382</v>
      </c>
      <c r="B147">
        <v>3303382</v>
      </c>
      <c r="C147" t="s">
        <v>427</v>
      </c>
    </row>
    <row r="148" spans="1:3" x14ac:dyDescent="0.25">
      <c r="A148">
        <f t="shared" si="2"/>
        <v>3383</v>
      </c>
      <c r="B148">
        <v>3303383</v>
      </c>
      <c r="C148" t="s">
        <v>425</v>
      </c>
    </row>
    <row r="149" spans="1:3" x14ac:dyDescent="0.25">
      <c r="A149">
        <f t="shared" si="2"/>
        <v>3385</v>
      </c>
      <c r="B149">
        <v>3303385</v>
      </c>
      <c r="C149" t="s">
        <v>439</v>
      </c>
    </row>
    <row r="150" spans="1:3" x14ac:dyDescent="0.25">
      <c r="A150">
        <f t="shared" si="2"/>
        <v>3386</v>
      </c>
      <c r="B150">
        <v>3303386</v>
      </c>
      <c r="C150" t="s">
        <v>1214</v>
      </c>
    </row>
    <row r="151" spans="1:3" x14ac:dyDescent="0.25">
      <c r="A151">
        <f t="shared" si="2"/>
        <v>3406</v>
      </c>
      <c r="B151">
        <v>3303406</v>
      </c>
      <c r="C151" t="s">
        <v>396</v>
      </c>
    </row>
    <row r="152" spans="1:3" x14ac:dyDescent="0.25">
      <c r="A152">
        <f t="shared" si="2"/>
        <v>3410</v>
      </c>
      <c r="B152">
        <v>3303410</v>
      </c>
      <c r="C152" t="s">
        <v>1215</v>
      </c>
    </row>
    <row r="153" spans="1:3" x14ac:dyDescent="0.25">
      <c r="A153">
        <f t="shared" si="2"/>
        <v>3411</v>
      </c>
      <c r="B153">
        <v>3303411</v>
      </c>
      <c r="C153" t="s">
        <v>276</v>
      </c>
    </row>
    <row r="154" spans="1:3" x14ac:dyDescent="0.25">
      <c r="A154">
        <f t="shared" si="2"/>
        <v>3421</v>
      </c>
      <c r="B154">
        <v>3303421</v>
      </c>
      <c r="C154" t="s">
        <v>494</v>
      </c>
    </row>
    <row r="155" spans="1:3" x14ac:dyDescent="0.25">
      <c r="A155">
        <f t="shared" si="2"/>
        <v>3428</v>
      </c>
      <c r="B155">
        <v>3303428</v>
      </c>
      <c r="C155" t="s">
        <v>437</v>
      </c>
    </row>
    <row r="156" spans="1:3" x14ac:dyDescent="0.25">
      <c r="A156">
        <f t="shared" si="2"/>
        <v>3431</v>
      </c>
      <c r="B156">
        <v>3303431</v>
      </c>
      <c r="C156" t="s">
        <v>34</v>
      </c>
    </row>
    <row r="157" spans="1:3" x14ac:dyDescent="0.25">
      <c r="A157">
        <f t="shared" si="2"/>
        <v>3432</v>
      </c>
      <c r="B157">
        <v>3303432</v>
      </c>
      <c r="C157" t="s">
        <v>216</v>
      </c>
    </row>
    <row r="158" spans="1:3" x14ac:dyDescent="0.25">
      <c r="A158">
        <f t="shared" si="2"/>
        <v>3435</v>
      </c>
      <c r="B158">
        <v>3303435</v>
      </c>
      <c r="C158" t="s">
        <v>242</v>
      </c>
    </row>
    <row r="159" spans="1:3" x14ac:dyDescent="0.25">
      <c r="A159">
        <f t="shared" si="2"/>
        <v>3436</v>
      </c>
      <c r="B159">
        <v>3303436</v>
      </c>
      <c r="C159" t="s">
        <v>1216</v>
      </c>
    </row>
    <row r="160" spans="1:3" x14ac:dyDescent="0.25">
      <c r="A160">
        <f t="shared" si="2"/>
        <v>5202</v>
      </c>
      <c r="B160">
        <v>3305202</v>
      </c>
      <c r="C160" t="s">
        <v>462</v>
      </c>
    </row>
    <row r="161" spans="1:3" x14ac:dyDescent="0.25">
      <c r="A161">
        <f t="shared" si="2"/>
        <v>5203</v>
      </c>
      <c r="B161">
        <v>3305203</v>
      </c>
      <c r="C161" t="s">
        <v>460</v>
      </c>
    </row>
    <row r="162" spans="1:3" x14ac:dyDescent="0.25">
      <c r="A162">
        <f t="shared" si="2"/>
        <v>5949</v>
      </c>
      <c r="B162">
        <v>3305949</v>
      </c>
      <c r="C162" t="s">
        <v>166</v>
      </c>
    </row>
    <row r="163" spans="1:3" x14ac:dyDescent="0.25">
      <c r="A163">
        <f t="shared" si="2"/>
        <v>4015</v>
      </c>
      <c r="B163">
        <v>3304015</v>
      </c>
      <c r="C163" t="s">
        <v>511</v>
      </c>
    </row>
    <row r="164" spans="1:3" x14ac:dyDescent="0.25">
      <c r="A164">
        <f t="shared" si="2"/>
        <v>4063</v>
      </c>
      <c r="B164">
        <v>3304063</v>
      </c>
      <c r="C164" t="s">
        <v>515</v>
      </c>
    </row>
    <row r="165" spans="1:3" x14ac:dyDescent="0.25">
      <c r="A165">
        <f t="shared" si="2"/>
        <v>4115</v>
      </c>
      <c r="B165">
        <v>3304115</v>
      </c>
      <c r="C165" t="s">
        <v>503</v>
      </c>
    </row>
    <row r="166" spans="1:3" x14ac:dyDescent="0.25">
      <c r="A166">
        <f t="shared" si="2"/>
        <v>4173</v>
      </c>
      <c r="B166">
        <v>3304173</v>
      </c>
      <c r="C166" t="s">
        <v>521</v>
      </c>
    </row>
    <row r="167" spans="1:3" x14ac:dyDescent="0.25">
      <c r="A167">
        <f t="shared" si="2"/>
        <v>4177</v>
      </c>
      <c r="B167">
        <v>3304177</v>
      </c>
      <c r="C167" t="s">
        <v>1217</v>
      </c>
    </row>
    <row r="168" spans="1:3" x14ac:dyDescent="0.25">
      <c r="A168">
        <f t="shared" si="2"/>
        <v>4193</v>
      </c>
      <c r="B168">
        <v>3304193</v>
      </c>
      <c r="C168" t="s">
        <v>535</v>
      </c>
    </row>
    <row r="169" spans="1:3" x14ac:dyDescent="0.25">
      <c r="A169">
        <f t="shared" si="2"/>
        <v>4201</v>
      </c>
      <c r="B169">
        <v>3304201</v>
      </c>
      <c r="C169" t="s">
        <v>509</v>
      </c>
    </row>
    <row r="170" spans="1:3" x14ac:dyDescent="0.25">
      <c r="A170">
        <f t="shared" si="2"/>
        <v>4223</v>
      </c>
      <c r="B170">
        <v>3304223</v>
      </c>
      <c r="C170" t="s">
        <v>513</v>
      </c>
    </row>
    <row r="171" spans="1:3" x14ac:dyDescent="0.25">
      <c r="A171">
        <f t="shared" si="2"/>
        <v>4237</v>
      </c>
      <c r="B171">
        <v>3304237</v>
      </c>
      <c r="C171" t="s">
        <v>529</v>
      </c>
    </row>
    <row r="172" spans="1:3" x14ac:dyDescent="0.25">
      <c r="A172">
        <f t="shared" si="2"/>
        <v>4245</v>
      </c>
      <c r="B172">
        <v>3304245</v>
      </c>
      <c r="C172" t="s">
        <v>519</v>
      </c>
    </row>
    <row r="173" spans="1:3" x14ac:dyDescent="0.25">
      <c r="A173">
        <f t="shared" si="2"/>
        <v>4606</v>
      </c>
      <c r="B173">
        <v>3304606</v>
      </c>
      <c r="C173" t="s">
        <v>527</v>
      </c>
    </row>
    <row r="174" spans="1:3" x14ac:dyDescent="0.25">
      <c r="A174">
        <f t="shared" si="2"/>
        <v>4625</v>
      </c>
      <c r="B174">
        <v>3304625</v>
      </c>
      <c r="C174" t="s">
        <v>525</v>
      </c>
    </row>
    <row r="175" spans="1:3" x14ac:dyDescent="0.25">
      <c r="A175">
        <f t="shared" si="2"/>
        <v>4801</v>
      </c>
      <c r="B175">
        <v>3304801</v>
      </c>
      <c r="C175" t="s">
        <v>505</v>
      </c>
    </row>
    <row r="176" spans="1:3" x14ac:dyDescent="0.25">
      <c r="A176">
        <f t="shared" si="2"/>
        <v>5413</v>
      </c>
      <c r="B176">
        <v>3305413</v>
      </c>
      <c r="C176" t="s">
        <v>500</v>
      </c>
    </row>
    <row r="177" spans="1:3" x14ac:dyDescent="0.25">
      <c r="A177">
        <f t="shared" si="2"/>
        <v>5415</v>
      </c>
      <c r="B177">
        <v>3305415</v>
      </c>
      <c r="C177" t="s">
        <v>517</v>
      </c>
    </row>
    <row r="178" spans="1:3" x14ac:dyDescent="0.25">
      <c r="A178">
        <f t="shared" si="2"/>
        <v>5416</v>
      </c>
      <c r="B178">
        <v>3305416</v>
      </c>
      <c r="C178" t="s">
        <v>507</v>
      </c>
    </row>
    <row r="179" spans="1:3" x14ac:dyDescent="0.25">
      <c r="A179">
        <f t="shared" si="2"/>
        <v>2003</v>
      </c>
      <c r="B179">
        <v>3302003</v>
      </c>
      <c r="C179" t="s">
        <v>1218</v>
      </c>
    </row>
    <row r="180" spans="1:3" x14ac:dyDescent="0.25">
      <c r="A180">
        <f t="shared" si="2"/>
        <v>2020</v>
      </c>
      <c r="B180">
        <v>3302020</v>
      </c>
      <c r="C180" t="s">
        <v>1219</v>
      </c>
    </row>
    <row r="181" spans="1:3" x14ac:dyDescent="0.25">
      <c r="A181">
        <f t="shared" si="2"/>
        <v>2032</v>
      </c>
      <c r="B181">
        <v>3302032</v>
      </c>
      <c r="C181" t="s">
        <v>1220</v>
      </c>
    </row>
    <row r="182" spans="1:3" x14ac:dyDescent="0.25">
      <c r="A182">
        <f t="shared" si="2"/>
        <v>2036</v>
      </c>
      <c r="B182">
        <v>3302036</v>
      </c>
      <c r="C182" t="s">
        <v>1221</v>
      </c>
    </row>
    <row r="183" spans="1:3" x14ac:dyDescent="0.25">
      <c r="A183">
        <f t="shared" si="2"/>
        <v>2037</v>
      </c>
      <c r="B183">
        <v>3302037</v>
      </c>
      <c r="C183" t="s">
        <v>1222</v>
      </c>
    </row>
    <row r="184" spans="1:3" x14ac:dyDescent="0.25">
      <c r="A184">
        <f t="shared" si="2"/>
        <v>2038</v>
      </c>
      <c r="B184">
        <v>3302038</v>
      </c>
      <c r="C184" t="s">
        <v>1223</v>
      </c>
    </row>
    <row r="185" spans="1:3" x14ac:dyDescent="0.25">
      <c r="A185">
        <f t="shared" si="2"/>
        <v>2039</v>
      </c>
      <c r="B185">
        <v>3302039</v>
      </c>
      <c r="C185" t="s">
        <v>1224</v>
      </c>
    </row>
    <row r="186" spans="1:3" x14ac:dyDescent="0.25">
      <c r="A186">
        <f t="shared" si="2"/>
        <v>2047</v>
      </c>
      <c r="B186">
        <v>3302047</v>
      </c>
      <c r="C186" t="s">
        <v>1225</v>
      </c>
    </row>
    <row r="187" spans="1:3" x14ac:dyDescent="0.25">
      <c r="A187">
        <f t="shared" si="2"/>
        <v>2048</v>
      </c>
      <c r="B187">
        <v>3302048</v>
      </c>
      <c r="C187" t="s">
        <v>1226</v>
      </c>
    </row>
    <row r="188" spans="1:3" x14ac:dyDescent="0.25">
      <c r="A188">
        <f t="shared" si="2"/>
        <v>2052</v>
      </c>
      <c r="B188">
        <v>3302052</v>
      </c>
      <c r="C188" t="s">
        <v>1227</v>
      </c>
    </row>
    <row r="189" spans="1:3" x14ac:dyDescent="0.25">
      <c r="A189">
        <f t="shared" si="2"/>
        <v>2056</v>
      </c>
      <c r="B189">
        <v>3302056</v>
      </c>
      <c r="C189" t="s">
        <v>1228</v>
      </c>
    </row>
    <row r="190" spans="1:3" x14ac:dyDescent="0.25">
      <c r="A190">
        <f t="shared" si="2"/>
        <v>2057</v>
      </c>
      <c r="B190">
        <v>3302057</v>
      </c>
      <c r="C190" t="s">
        <v>1229</v>
      </c>
    </row>
    <row r="191" spans="1:3" x14ac:dyDescent="0.25">
      <c r="A191">
        <f t="shared" si="2"/>
        <v>2058</v>
      </c>
      <c r="B191">
        <v>3302058</v>
      </c>
      <c r="C191" t="s">
        <v>1230</v>
      </c>
    </row>
    <row r="192" spans="1:3" x14ac:dyDescent="0.25">
      <c r="A192">
        <f t="shared" si="2"/>
        <v>2059</v>
      </c>
      <c r="B192">
        <v>3302059</v>
      </c>
      <c r="C192" t="s">
        <v>1231</v>
      </c>
    </row>
    <row r="193" spans="1:3" x14ac:dyDescent="0.25">
      <c r="A193">
        <f t="shared" si="2"/>
        <v>2060</v>
      </c>
      <c r="B193">
        <v>3302060</v>
      </c>
      <c r="C193" t="s">
        <v>1232</v>
      </c>
    </row>
    <row r="194" spans="1:3" x14ac:dyDescent="0.25">
      <c r="A194">
        <f t="shared" si="2"/>
        <v>2061</v>
      </c>
      <c r="B194">
        <v>3302061</v>
      </c>
      <c r="C194" t="s">
        <v>1233</v>
      </c>
    </row>
    <row r="195" spans="1:3" x14ac:dyDescent="0.25">
      <c r="A195">
        <f t="shared" ref="A195:A258" si="3">VALUE(RIGHT(B195,4))</f>
        <v>2064</v>
      </c>
      <c r="B195">
        <v>3302064</v>
      </c>
      <c r="C195" t="s">
        <v>1234</v>
      </c>
    </row>
    <row r="196" spans="1:3" x14ac:dyDescent="0.25">
      <c r="A196">
        <f t="shared" si="3"/>
        <v>2065</v>
      </c>
      <c r="B196">
        <v>3302065</v>
      </c>
      <c r="C196" t="s">
        <v>1235</v>
      </c>
    </row>
    <row r="197" spans="1:3" x14ac:dyDescent="0.25">
      <c r="A197">
        <f t="shared" si="3"/>
        <v>2068</v>
      </c>
      <c r="B197">
        <v>3302068</v>
      </c>
      <c r="C197" t="s">
        <v>1236</v>
      </c>
    </row>
    <row r="198" spans="1:3" x14ac:dyDescent="0.25">
      <c r="A198">
        <f t="shared" si="3"/>
        <v>2070</v>
      </c>
      <c r="B198">
        <v>3302070</v>
      </c>
      <c r="C198" t="s">
        <v>1237</v>
      </c>
    </row>
    <row r="199" spans="1:3" x14ac:dyDescent="0.25">
      <c r="A199">
        <f t="shared" si="3"/>
        <v>2071</v>
      </c>
      <c r="B199">
        <v>3302071</v>
      </c>
      <c r="C199" t="s">
        <v>1238</v>
      </c>
    </row>
    <row r="200" spans="1:3" x14ac:dyDescent="0.25">
      <c r="A200">
        <f t="shared" si="3"/>
        <v>2072</v>
      </c>
      <c r="B200">
        <v>3302072</v>
      </c>
      <c r="C200" t="s">
        <v>1239</v>
      </c>
    </row>
    <row r="201" spans="1:3" x14ac:dyDescent="0.25">
      <c r="A201">
        <f t="shared" si="3"/>
        <v>2073</v>
      </c>
      <c r="B201">
        <v>3302073</v>
      </c>
      <c r="C201" t="s">
        <v>1240</v>
      </c>
    </row>
    <row r="202" spans="1:3" x14ac:dyDescent="0.25">
      <c r="A202">
        <f t="shared" si="3"/>
        <v>2075</v>
      </c>
      <c r="B202">
        <v>3302075</v>
      </c>
      <c r="C202" t="s">
        <v>1241</v>
      </c>
    </row>
    <row r="203" spans="1:3" x14ac:dyDescent="0.25">
      <c r="A203">
        <f t="shared" si="3"/>
        <v>2078</v>
      </c>
      <c r="B203">
        <v>3302078</v>
      </c>
      <c r="C203" t="s">
        <v>1242</v>
      </c>
    </row>
    <row r="204" spans="1:3" x14ac:dyDescent="0.25">
      <c r="A204">
        <f t="shared" si="3"/>
        <v>2080</v>
      </c>
      <c r="B204">
        <v>3302080</v>
      </c>
      <c r="C204" t="s">
        <v>1243</v>
      </c>
    </row>
    <row r="205" spans="1:3" x14ac:dyDescent="0.25">
      <c r="A205">
        <f t="shared" si="3"/>
        <v>2082</v>
      </c>
      <c r="B205">
        <v>3302082</v>
      </c>
      <c r="C205" t="s">
        <v>1244</v>
      </c>
    </row>
    <row r="206" spans="1:3" x14ac:dyDescent="0.25">
      <c r="A206">
        <f t="shared" si="3"/>
        <v>2085</v>
      </c>
      <c r="B206">
        <v>3302085</v>
      </c>
      <c r="C206" t="s">
        <v>1245</v>
      </c>
    </row>
    <row r="207" spans="1:3" x14ac:dyDescent="0.25">
      <c r="A207">
        <f t="shared" si="3"/>
        <v>2086</v>
      </c>
      <c r="B207">
        <v>3302086</v>
      </c>
      <c r="C207" t="s">
        <v>1246</v>
      </c>
    </row>
    <row r="208" spans="1:3" x14ac:dyDescent="0.25">
      <c r="A208">
        <f t="shared" si="3"/>
        <v>2096</v>
      </c>
      <c r="B208">
        <v>3302096</v>
      </c>
      <c r="C208" t="s">
        <v>1247</v>
      </c>
    </row>
    <row r="209" spans="1:3" x14ac:dyDescent="0.25">
      <c r="A209">
        <f t="shared" si="3"/>
        <v>2098</v>
      </c>
      <c r="B209">
        <v>3302098</v>
      </c>
      <c r="C209" t="s">
        <v>1248</v>
      </c>
    </row>
    <row r="210" spans="1:3" x14ac:dyDescent="0.25">
      <c r="A210">
        <f t="shared" si="3"/>
        <v>2100</v>
      </c>
      <c r="B210">
        <v>3302100</v>
      </c>
      <c r="C210" t="s">
        <v>1249</v>
      </c>
    </row>
    <row r="211" spans="1:3" x14ac:dyDescent="0.25">
      <c r="A211">
        <f t="shared" si="3"/>
        <v>2102</v>
      </c>
      <c r="B211">
        <v>3302102</v>
      </c>
      <c r="C211" t="s">
        <v>1250</v>
      </c>
    </row>
    <row r="212" spans="1:3" x14ac:dyDescent="0.25">
      <c r="A212">
        <f t="shared" si="3"/>
        <v>2103</v>
      </c>
      <c r="B212">
        <v>3302103</v>
      </c>
      <c r="C212" t="s">
        <v>1251</v>
      </c>
    </row>
    <row r="213" spans="1:3" x14ac:dyDescent="0.25">
      <c r="A213">
        <f t="shared" si="3"/>
        <v>2104</v>
      </c>
      <c r="B213">
        <v>3302104</v>
      </c>
      <c r="C213" t="s">
        <v>1252</v>
      </c>
    </row>
    <row r="214" spans="1:3" x14ac:dyDescent="0.25">
      <c r="A214">
        <f t="shared" si="3"/>
        <v>2105</v>
      </c>
      <c r="B214">
        <v>3302105</v>
      </c>
      <c r="C214" t="s">
        <v>1253</v>
      </c>
    </row>
    <row r="215" spans="1:3" x14ac:dyDescent="0.25">
      <c r="A215">
        <f t="shared" si="3"/>
        <v>2107</v>
      </c>
      <c r="B215">
        <v>3302107</v>
      </c>
      <c r="C215" t="s">
        <v>1254</v>
      </c>
    </row>
    <row r="216" spans="1:3" x14ac:dyDescent="0.25">
      <c r="A216">
        <f t="shared" si="3"/>
        <v>2109</v>
      </c>
      <c r="B216">
        <v>3302109</v>
      </c>
      <c r="C216" t="s">
        <v>1255</v>
      </c>
    </row>
    <row r="217" spans="1:3" x14ac:dyDescent="0.25">
      <c r="A217">
        <f t="shared" si="3"/>
        <v>2110</v>
      </c>
      <c r="B217">
        <v>3302110</v>
      </c>
      <c r="C217" t="s">
        <v>1256</v>
      </c>
    </row>
    <row r="218" spans="1:3" x14ac:dyDescent="0.25">
      <c r="A218">
        <f t="shared" si="3"/>
        <v>2111</v>
      </c>
      <c r="B218">
        <v>3302111</v>
      </c>
      <c r="C218" t="s">
        <v>1257</v>
      </c>
    </row>
    <row r="219" spans="1:3" x14ac:dyDescent="0.25">
      <c r="A219">
        <f t="shared" si="3"/>
        <v>2117</v>
      </c>
      <c r="B219">
        <v>3302117</v>
      </c>
      <c r="C219" t="s">
        <v>1258</v>
      </c>
    </row>
    <row r="220" spans="1:3" x14ac:dyDescent="0.25">
      <c r="A220">
        <f t="shared" si="3"/>
        <v>2120</v>
      </c>
      <c r="B220">
        <v>3302120</v>
      </c>
      <c r="C220" t="s">
        <v>1259</v>
      </c>
    </row>
    <row r="221" spans="1:3" x14ac:dyDescent="0.25">
      <c r="A221">
        <f t="shared" si="3"/>
        <v>2121</v>
      </c>
      <c r="B221">
        <v>3302121</v>
      </c>
      <c r="C221" t="s">
        <v>1260</v>
      </c>
    </row>
    <row r="222" spans="1:3" x14ac:dyDescent="0.25">
      <c r="A222">
        <f t="shared" si="3"/>
        <v>2122</v>
      </c>
      <c r="B222">
        <v>3302122</v>
      </c>
      <c r="C222" t="s">
        <v>1261</v>
      </c>
    </row>
    <row r="223" spans="1:3" x14ac:dyDescent="0.25">
      <c r="A223">
        <f t="shared" si="3"/>
        <v>2126</v>
      </c>
      <c r="B223">
        <v>3302126</v>
      </c>
      <c r="C223" t="s">
        <v>1262</v>
      </c>
    </row>
    <row r="224" spans="1:3" x14ac:dyDescent="0.25">
      <c r="A224">
        <f t="shared" si="3"/>
        <v>2132</v>
      </c>
      <c r="B224">
        <v>3302132</v>
      </c>
      <c r="C224" t="s">
        <v>1263</v>
      </c>
    </row>
    <row r="225" spans="1:3" x14ac:dyDescent="0.25">
      <c r="A225">
        <f t="shared" si="3"/>
        <v>2136</v>
      </c>
      <c r="B225">
        <v>3302136</v>
      </c>
      <c r="C225" t="s">
        <v>1264</v>
      </c>
    </row>
    <row r="226" spans="1:3" x14ac:dyDescent="0.25">
      <c r="A226">
        <f t="shared" si="3"/>
        <v>2138</v>
      </c>
      <c r="B226">
        <v>3302138</v>
      </c>
      <c r="C226" t="s">
        <v>1265</v>
      </c>
    </row>
    <row r="227" spans="1:3" x14ac:dyDescent="0.25">
      <c r="A227">
        <f t="shared" si="3"/>
        <v>2140</v>
      </c>
      <c r="B227">
        <v>3302140</v>
      </c>
      <c r="C227" t="s">
        <v>1266</v>
      </c>
    </row>
    <row r="228" spans="1:3" x14ac:dyDescent="0.25">
      <c r="A228">
        <f t="shared" si="3"/>
        <v>2141</v>
      </c>
      <c r="B228">
        <v>3302141</v>
      </c>
      <c r="C228" t="s">
        <v>1267</v>
      </c>
    </row>
    <row r="229" spans="1:3" x14ac:dyDescent="0.25">
      <c r="A229">
        <f t="shared" si="3"/>
        <v>2144</v>
      </c>
      <c r="B229">
        <v>3302144</v>
      </c>
      <c r="C229" t="s">
        <v>1268</v>
      </c>
    </row>
    <row r="230" spans="1:3" x14ac:dyDescent="0.25">
      <c r="A230">
        <f t="shared" si="3"/>
        <v>2145</v>
      </c>
      <c r="B230">
        <v>3302145</v>
      </c>
      <c r="C230" t="s">
        <v>1269</v>
      </c>
    </row>
    <row r="231" spans="1:3" x14ac:dyDescent="0.25">
      <c r="A231">
        <f t="shared" si="3"/>
        <v>2146</v>
      </c>
      <c r="B231">
        <v>3302146</v>
      </c>
      <c r="C231" t="s">
        <v>1270</v>
      </c>
    </row>
    <row r="232" spans="1:3" x14ac:dyDescent="0.25">
      <c r="A232">
        <f t="shared" si="3"/>
        <v>2152</v>
      </c>
      <c r="B232">
        <v>3302152</v>
      </c>
      <c r="C232" t="s">
        <v>1271</v>
      </c>
    </row>
    <row r="233" spans="1:3" x14ac:dyDescent="0.25">
      <c r="A233">
        <f t="shared" si="3"/>
        <v>2154</v>
      </c>
      <c r="B233">
        <v>3302154</v>
      </c>
      <c r="C233" t="s">
        <v>1272</v>
      </c>
    </row>
    <row r="234" spans="1:3" x14ac:dyDescent="0.25">
      <c r="A234">
        <f t="shared" si="3"/>
        <v>2156</v>
      </c>
      <c r="B234">
        <v>3302156</v>
      </c>
      <c r="C234" t="s">
        <v>1273</v>
      </c>
    </row>
    <row r="235" spans="1:3" x14ac:dyDescent="0.25">
      <c r="A235">
        <f t="shared" si="3"/>
        <v>2158</v>
      </c>
      <c r="B235">
        <v>3302158</v>
      </c>
      <c r="C235" t="s">
        <v>1274</v>
      </c>
    </row>
    <row r="236" spans="1:3" x14ac:dyDescent="0.25">
      <c r="A236">
        <f t="shared" si="3"/>
        <v>2162</v>
      </c>
      <c r="B236">
        <v>3302162</v>
      </c>
      <c r="C236" t="s">
        <v>1275</v>
      </c>
    </row>
    <row r="237" spans="1:3" x14ac:dyDescent="0.25">
      <c r="A237">
        <f t="shared" si="3"/>
        <v>2165</v>
      </c>
      <c r="B237">
        <v>3302165</v>
      </c>
      <c r="C237" t="s">
        <v>1276</v>
      </c>
    </row>
    <row r="238" spans="1:3" x14ac:dyDescent="0.25">
      <c r="A238">
        <f t="shared" si="3"/>
        <v>2167</v>
      </c>
      <c r="B238">
        <v>3302167</v>
      </c>
      <c r="C238" t="s">
        <v>1277</v>
      </c>
    </row>
    <row r="239" spans="1:3" x14ac:dyDescent="0.25">
      <c r="A239">
        <f t="shared" si="3"/>
        <v>2170</v>
      </c>
      <c r="B239">
        <v>3302170</v>
      </c>
      <c r="C239" t="s">
        <v>1278</v>
      </c>
    </row>
    <row r="240" spans="1:3" x14ac:dyDescent="0.25">
      <c r="A240">
        <f t="shared" si="3"/>
        <v>2171</v>
      </c>
      <c r="B240">
        <v>3302171</v>
      </c>
      <c r="C240" t="s">
        <v>1279</v>
      </c>
    </row>
    <row r="241" spans="1:3" x14ac:dyDescent="0.25">
      <c r="A241">
        <f t="shared" si="3"/>
        <v>2175</v>
      </c>
      <c r="B241">
        <v>3302175</v>
      </c>
      <c r="C241" t="s">
        <v>1280</v>
      </c>
    </row>
    <row r="242" spans="1:3" x14ac:dyDescent="0.25">
      <c r="A242">
        <f t="shared" si="3"/>
        <v>2180</v>
      </c>
      <c r="B242">
        <v>3302180</v>
      </c>
      <c r="C242" t="s">
        <v>1281</v>
      </c>
    </row>
    <row r="243" spans="1:3" x14ac:dyDescent="0.25">
      <c r="A243">
        <f t="shared" si="3"/>
        <v>2181</v>
      </c>
      <c r="B243">
        <v>3302181</v>
      </c>
      <c r="C243" t="s">
        <v>1282</v>
      </c>
    </row>
    <row r="244" spans="1:3" x14ac:dyDescent="0.25">
      <c r="A244">
        <f t="shared" si="3"/>
        <v>2186</v>
      </c>
      <c r="B244">
        <v>3302186</v>
      </c>
      <c r="C244" t="s">
        <v>1283</v>
      </c>
    </row>
    <row r="245" spans="1:3" x14ac:dyDescent="0.25">
      <c r="A245">
        <f t="shared" si="3"/>
        <v>2187</v>
      </c>
      <c r="B245">
        <v>3302187</v>
      </c>
      <c r="C245" t="s">
        <v>1284</v>
      </c>
    </row>
    <row r="246" spans="1:3" x14ac:dyDescent="0.25">
      <c r="A246">
        <f t="shared" si="3"/>
        <v>2188</v>
      </c>
      <c r="B246">
        <v>3302188</v>
      </c>
      <c r="C246" t="s">
        <v>1285</v>
      </c>
    </row>
    <row r="247" spans="1:3" x14ac:dyDescent="0.25">
      <c r="A247">
        <f t="shared" si="3"/>
        <v>2194</v>
      </c>
      <c r="B247">
        <v>3302194</v>
      </c>
      <c r="C247" t="s">
        <v>1286</v>
      </c>
    </row>
    <row r="248" spans="1:3" x14ac:dyDescent="0.25">
      <c r="A248">
        <f t="shared" si="3"/>
        <v>2195</v>
      </c>
      <c r="B248">
        <v>3302195</v>
      </c>
      <c r="C248" t="s">
        <v>1287</v>
      </c>
    </row>
    <row r="249" spans="1:3" x14ac:dyDescent="0.25">
      <c r="A249">
        <f t="shared" si="3"/>
        <v>2196</v>
      </c>
      <c r="B249">
        <v>3302196</v>
      </c>
      <c r="C249" t="s">
        <v>1288</v>
      </c>
    </row>
    <row r="250" spans="1:3" x14ac:dyDescent="0.25">
      <c r="A250">
        <f t="shared" si="3"/>
        <v>2198</v>
      </c>
      <c r="B250">
        <v>3302198</v>
      </c>
      <c r="C250" t="s">
        <v>1289</v>
      </c>
    </row>
    <row r="251" spans="1:3" x14ac:dyDescent="0.25">
      <c r="A251">
        <f t="shared" si="3"/>
        <v>2199</v>
      </c>
      <c r="B251">
        <v>3302199</v>
      </c>
      <c r="C251" t="s">
        <v>1290</v>
      </c>
    </row>
    <row r="252" spans="1:3" x14ac:dyDescent="0.25">
      <c r="A252">
        <f t="shared" si="3"/>
        <v>2201</v>
      </c>
      <c r="B252">
        <v>3302201</v>
      </c>
      <c r="C252" t="s">
        <v>1291</v>
      </c>
    </row>
    <row r="253" spans="1:3" x14ac:dyDescent="0.25">
      <c r="A253">
        <f t="shared" si="3"/>
        <v>2202</v>
      </c>
      <c r="B253">
        <v>3302202</v>
      </c>
      <c r="C253" t="s">
        <v>1292</v>
      </c>
    </row>
    <row r="254" spans="1:3" x14ac:dyDescent="0.25">
      <c r="A254">
        <f t="shared" si="3"/>
        <v>2204</v>
      </c>
      <c r="B254">
        <v>3302204</v>
      </c>
      <c r="C254" t="s">
        <v>1293</v>
      </c>
    </row>
    <row r="255" spans="1:3" x14ac:dyDescent="0.25">
      <c r="A255">
        <f t="shared" si="3"/>
        <v>2205</v>
      </c>
      <c r="B255">
        <v>3302205</v>
      </c>
      <c r="C255" t="s">
        <v>1294</v>
      </c>
    </row>
    <row r="256" spans="1:3" x14ac:dyDescent="0.25">
      <c r="A256">
        <f t="shared" si="3"/>
        <v>2206</v>
      </c>
      <c r="B256">
        <v>3302206</v>
      </c>
      <c r="C256" t="s">
        <v>1295</v>
      </c>
    </row>
    <row r="257" spans="1:3" x14ac:dyDescent="0.25">
      <c r="A257">
        <f t="shared" si="3"/>
        <v>2226</v>
      </c>
      <c r="B257">
        <v>3302226</v>
      </c>
      <c r="C257" t="s">
        <v>1296</v>
      </c>
    </row>
    <row r="258" spans="1:3" x14ac:dyDescent="0.25">
      <c r="A258">
        <f t="shared" si="3"/>
        <v>2249</v>
      </c>
      <c r="B258">
        <v>3302249</v>
      </c>
      <c r="C258" t="s">
        <v>1297</v>
      </c>
    </row>
    <row r="259" spans="1:3" x14ac:dyDescent="0.25">
      <c r="A259">
        <f t="shared" ref="A259:A322" si="4">VALUE(RIGHT(B259,4))</f>
        <v>2263</v>
      </c>
      <c r="B259">
        <v>3302263</v>
      </c>
      <c r="C259" t="s">
        <v>1298</v>
      </c>
    </row>
    <row r="260" spans="1:3" x14ac:dyDescent="0.25">
      <c r="A260">
        <f t="shared" si="4"/>
        <v>2273</v>
      </c>
      <c r="B260">
        <v>3302273</v>
      </c>
      <c r="C260" t="s">
        <v>1299</v>
      </c>
    </row>
    <row r="261" spans="1:3" x14ac:dyDescent="0.25">
      <c r="A261">
        <f t="shared" si="4"/>
        <v>2295</v>
      </c>
      <c r="B261">
        <v>3302295</v>
      </c>
      <c r="C261" t="s">
        <v>1300</v>
      </c>
    </row>
    <row r="262" spans="1:3" x14ac:dyDescent="0.25">
      <c r="A262">
        <f t="shared" si="4"/>
        <v>2299</v>
      </c>
      <c r="B262">
        <v>3302299</v>
      </c>
      <c r="C262" t="s">
        <v>1301</v>
      </c>
    </row>
    <row r="263" spans="1:3" x14ac:dyDescent="0.25">
      <c r="A263">
        <f t="shared" si="4"/>
        <v>2309</v>
      </c>
      <c r="B263">
        <v>3302309</v>
      </c>
      <c r="C263" t="s">
        <v>1302</v>
      </c>
    </row>
    <row r="264" spans="1:3" x14ac:dyDescent="0.25">
      <c r="A264">
        <f t="shared" si="4"/>
        <v>2310</v>
      </c>
      <c r="B264">
        <v>3302310</v>
      </c>
      <c r="C264" t="s">
        <v>1303</v>
      </c>
    </row>
    <row r="265" spans="1:3" x14ac:dyDescent="0.25">
      <c r="A265">
        <f t="shared" si="4"/>
        <v>2315</v>
      </c>
      <c r="B265">
        <v>3302315</v>
      </c>
      <c r="C265" t="s">
        <v>1304</v>
      </c>
    </row>
    <row r="266" spans="1:3" x14ac:dyDescent="0.25">
      <c r="A266">
        <f t="shared" si="4"/>
        <v>2434</v>
      </c>
      <c r="B266">
        <v>3302434</v>
      </c>
      <c r="C266" t="s">
        <v>1305</v>
      </c>
    </row>
    <row r="267" spans="1:3" x14ac:dyDescent="0.25">
      <c r="A267">
        <f t="shared" si="4"/>
        <v>2443</v>
      </c>
      <c r="B267">
        <v>3302443</v>
      </c>
      <c r="C267" t="s">
        <v>1306</v>
      </c>
    </row>
    <row r="268" spans="1:3" x14ac:dyDescent="0.25">
      <c r="A268">
        <f t="shared" si="4"/>
        <v>2447</v>
      </c>
      <c r="B268">
        <v>3302447</v>
      </c>
      <c r="C268" t="s">
        <v>1307</v>
      </c>
    </row>
    <row r="269" spans="1:3" x14ac:dyDescent="0.25">
      <c r="A269">
        <f t="shared" si="4"/>
        <v>2448</v>
      </c>
      <c r="B269">
        <v>3302448</v>
      </c>
      <c r="C269" t="s">
        <v>1308</v>
      </c>
    </row>
    <row r="270" spans="1:3" x14ac:dyDescent="0.25">
      <c r="A270">
        <f t="shared" si="4"/>
        <v>2449</v>
      </c>
      <c r="B270">
        <v>3302449</v>
      </c>
      <c r="C270" t="s">
        <v>1309</v>
      </c>
    </row>
    <row r="271" spans="1:3" x14ac:dyDescent="0.25">
      <c r="A271">
        <f t="shared" si="4"/>
        <v>2450</v>
      </c>
      <c r="B271">
        <v>3302450</v>
      </c>
      <c r="C271" t="s">
        <v>1310</v>
      </c>
    </row>
    <row r="272" spans="1:3" x14ac:dyDescent="0.25">
      <c r="A272">
        <f t="shared" si="4"/>
        <v>2451</v>
      </c>
      <c r="B272">
        <v>3302451</v>
      </c>
      <c r="C272" t="s">
        <v>1311</v>
      </c>
    </row>
    <row r="273" spans="1:3" x14ac:dyDescent="0.25">
      <c r="A273">
        <f t="shared" si="4"/>
        <v>2452</v>
      </c>
      <c r="B273">
        <v>3302452</v>
      </c>
      <c r="C273" t="s">
        <v>1312</v>
      </c>
    </row>
    <row r="274" spans="1:3" x14ac:dyDescent="0.25">
      <c r="A274">
        <f t="shared" si="4"/>
        <v>2453</v>
      </c>
      <c r="B274">
        <v>3302453</v>
      </c>
      <c r="C274" t="s">
        <v>1313</v>
      </c>
    </row>
    <row r="275" spans="1:3" x14ac:dyDescent="0.25">
      <c r="A275">
        <f t="shared" si="4"/>
        <v>2455</v>
      </c>
      <c r="B275">
        <v>3302455</v>
      </c>
      <c r="C275" t="s">
        <v>1314</v>
      </c>
    </row>
    <row r="276" spans="1:3" x14ac:dyDescent="0.25">
      <c r="A276">
        <f t="shared" si="4"/>
        <v>2458</v>
      </c>
      <c r="B276">
        <v>3302458</v>
      </c>
      <c r="C276" t="s">
        <v>1315</v>
      </c>
    </row>
    <row r="277" spans="1:3" x14ac:dyDescent="0.25">
      <c r="A277">
        <f t="shared" si="4"/>
        <v>2460</v>
      </c>
      <c r="B277">
        <v>3302460</v>
      </c>
      <c r="C277" t="s">
        <v>1316</v>
      </c>
    </row>
    <row r="278" spans="1:3" x14ac:dyDescent="0.25">
      <c r="A278">
        <f t="shared" si="4"/>
        <v>2463</v>
      </c>
      <c r="B278">
        <v>3302463</v>
      </c>
      <c r="C278" t="s">
        <v>1317</v>
      </c>
    </row>
    <row r="279" spans="1:3" x14ac:dyDescent="0.25">
      <c r="A279">
        <f t="shared" si="4"/>
        <v>2471</v>
      </c>
      <c r="B279">
        <v>3302471</v>
      </c>
      <c r="C279" t="s">
        <v>1318</v>
      </c>
    </row>
    <row r="280" spans="1:3" x14ac:dyDescent="0.25">
      <c r="A280">
        <f t="shared" si="4"/>
        <v>2475</v>
      </c>
      <c r="B280">
        <v>3302475</v>
      </c>
      <c r="C280" t="s">
        <v>1319</v>
      </c>
    </row>
    <row r="281" spans="1:3" x14ac:dyDescent="0.25">
      <c r="A281">
        <f t="shared" si="4"/>
        <v>2480</v>
      </c>
      <c r="B281">
        <v>3302480</v>
      </c>
      <c r="C281" t="s">
        <v>1320</v>
      </c>
    </row>
    <row r="282" spans="1:3" x14ac:dyDescent="0.25">
      <c r="A282">
        <f t="shared" si="4"/>
        <v>2481</v>
      </c>
      <c r="B282">
        <v>3302481</v>
      </c>
      <c r="C282" t="s">
        <v>1321</v>
      </c>
    </row>
    <row r="283" spans="1:3" x14ac:dyDescent="0.25">
      <c r="A283">
        <f t="shared" si="4"/>
        <v>2485</v>
      </c>
      <c r="B283">
        <v>3302485</v>
      </c>
      <c r="C283" t="s">
        <v>1322</v>
      </c>
    </row>
    <row r="284" spans="1:3" x14ac:dyDescent="0.25">
      <c r="A284">
        <f t="shared" si="4"/>
        <v>3004</v>
      </c>
      <c r="B284">
        <v>3303004</v>
      </c>
      <c r="C284" t="s">
        <v>1323</v>
      </c>
    </row>
    <row r="285" spans="1:3" x14ac:dyDescent="0.25">
      <c r="A285">
        <f t="shared" si="4"/>
        <v>3015</v>
      </c>
      <c r="B285">
        <v>3303015</v>
      </c>
      <c r="C285" t="s">
        <v>1324</v>
      </c>
    </row>
    <row r="286" spans="1:3" x14ac:dyDescent="0.25">
      <c r="A286">
        <f t="shared" si="4"/>
        <v>3302</v>
      </c>
      <c r="B286">
        <v>3303302</v>
      </c>
      <c r="C286" t="s">
        <v>1325</v>
      </c>
    </row>
    <row r="287" spans="1:3" x14ac:dyDescent="0.25">
      <c r="A287">
        <f t="shared" si="4"/>
        <v>3303</v>
      </c>
      <c r="B287">
        <v>3303303</v>
      </c>
      <c r="C287" t="s">
        <v>1326</v>
      </c>
    </row>
    <row r="288" spans="1:3" x14ac:dyDescent="0.25">
      <c r="A288">
        <f t="shared" si="4"/>
        <v>3306</v>
      </c>
      <c r="B288">
        <v>3303306</v>
      </c>
      <c r="C288" t="s">
        <v>1327</v>
      </c>
    </row>
    <row r="289" spans="1:3" x14ac:dyDescent="0.25">
      <c r="A289">
        <f t="shared" si="4"/>
        <v>3311</v>
      </c>
      <c r="B289">
        <v>3303311</v>
      </c>
      <c r="C289" t="s">
        <v>1328</v>
      </c>
    </row>
    <row r="290" spans="1:3" x14ac:dyDescent="0.25">
      <c r="A290">
        <f t="shared" si="4"/>
        <v>3314</v>
      </c>
      <c r="B290">
        <v>3303314</v>
      </c>
      <c r="C290" t="s">
        <v>1329</v>
      </c>
    </row>
    <row r="291" spans="1:3" x14ac:dyDescent="0.25">
      <c r="A291">
        <f t="shared" si="4"/>
        <v>3316</v>
      </c>
      <c r="B291">
        <v>3303316</v>
      </c>
      <c r="C291" t="s">
        <v>256</v>
      </c>
    </row>
    <row r="292" spans="1:3" x14ac:dyDescent="0.25">
      <c r="A292">
        <f t="shared" si="4"/>
        <v>3318</v>
      </c>
      <c r="B292">
        <v>3303318</v>
      </c>
      <c r="C292" t="s">
        <v>161</v>
      </c>
    </row>
    <row r="293" spans="1:3" x14ac:dyDescent="0.25">
      <c r="A293">
        <f t="shared" si="4"/>
        <v>3325</v>
      </c>
      <c r="B293">
        <v>3303325</v>
      </c>
      <c r="C293" t="s">
        <v>366</v>
      </c>
    </row>
    <row r="294" spans="1:3" x14ac:dyDescent="0.25">
      <c r="A294">
        <f t="shared" si="4"/>
        <v>3330</v>
      </c>
      <c r="B294">
        <v>3303330</v>
      </c>
      <c r="C294" t="s">
        <v>1330</v>
      </c>
    </row>
    <row r="295" spans="1:3" x14ac:dyDescent="0.25">
      <c r="A295">
        <f t="shared" si="4"/>
        <v>3337</v>
      </c>
      <c r="B295">
        <v>3303337</v>
      </c>
      <c r="C295" t="s">
        <v>394</v>
      </c>
    </row>
    <row r="296" spans="1:3" x14ac:dyDescent="0.25">
      <c r="A296">
        <f t="shared" si="4"/>
        <v>3339</v>
      </c>
      <c r="B296">
        <v>3303339</v>
      </c>
      <c r="C296" t="s">
        <v>1274</v>
      </c>
    </row>
    <row r="297" spans="1:3" x14ac:dyDescent="0.25">
      <c r="A297">
        <f t="shared" si="4"/>
        <v>3357</v>
      </c>
      <c r="B297">
        <v>3303357</v>
      </c>
      <c r="C297" t="s">
        <v>340</v>
      </c>
    </row>
    <row r="298" spans="1:3" x14ac:dyDescent="0.25">
      <c r="A298">
        <f t="shared" si="4"/>
        <v>3358</v>
      </c>
      <c r="B298">
        <v>3303358</v>
      </c>
      <c r="C298" t="s">
        <v>1331</v>
      </c>
    </row>
    <row r="299" spans="1:3" x14ac:dyDescent="0.25">
      <c r="A299">
        <f t="shared" si="4"/>
        <v>3359</v>
      </c>
      <c r="B299">
        <v>3303359</v>
      </c>
      <c r="C299" t="s">
        <v>447</v>
      </c>
    </row>
    <row r="300" spans="1:3" x14ac:dyDescent="0.25">
      <c r="A300">
        <f t="shared" si="4"/>
        <v>3360</v>
      </c>
      <c r="B300">
        <v>3303360</v>
      </c>
      <c r="C300" t="s">
        <v>1332</v>
      </c>
    </row>
    <row r="301" spans="1:3" x14ac:dyDescent="0.25">
      <c r="A301">
        <f t="shared" si="4"/>
        <v>3362</v>
      </c>
      <c r="B301">
        <v>3303362</v>
      </c>
      <c r="C301" t="s">
        <v>1333</v>
      </c>
    </row>
    <row r="302" spans="1:3" x14ac:dyDescent="0.25">
      <c r="A302">
        <f t="shared" si="4"/>
        <v>3366</v>
      </c>
      <c r="B302">
        <v>3303366</v>
      </c>
      <c r="C302" t="s">
        <v>1334</v>
      </c>
    </row>
    <row r="303" spans="1:3" x14ac:dyDescent="0.25">
      <c r="A303">
        <f t="shared" si="4"/>
        <v>3374</v>
      </c>
      <c r="B303">
        <v>3303374</v>
      </c>
      <c r="C303" t="s">
        <v>1335</v>
      </c>
    </row>
    <row r="304" spans="1:3" x14ac:dyDescent="0.25">
      <c r="A304">
        <f t="shared" si="4"/>
        <v>3401</v>
      </c>
      <c r="B304">
        <v>3303401</v>
      </c>
      <c r="C304" t="s">
        <v>1274</v>
      </c>
    </row>
    <row r="305" spans="1:3" x14ac:dyDescent="0.25">
      <c r="A305">
        <f t="shared" si="4"/>
        <v>3402</v>
      </c>
      <c r="B305">
        <v>3303402</v>
      </c>
      <c r="C305" t="s">
        <v>1336</v>
      </c>
    </row>
    <row r="306" spans="1:3" x14ac:dyDescent="0.25">
      <c r="A306">
        <f t="shared" si="4"/>
        <v>3403</v>
      </c>
      <c r="B306">
        <v>3303403</v>
      </c>
      <c r="C306" t="s">
        <v>1337</v>
      </c>
    </row>
    <row r="307" spans="1:3" x14ac:dyDescent="0.25">
      <c r="A307">
        <f t="shared" si="4"/>
        <v>3412</v>
      </c>
      <c r="B307">
        <v>3303412</v>
      </c>
      <c r="C307" t="s">
        <v>1338</v>
      </c>
    </row>
    <row r="308" spans="1:3" x14ac:dyDescent="0.25">
      <c r="A308">
        <f t="shared" si="4"/>
        <v>3429</v>
      </c>
      <c r="B308">
        <v>3303429</v>
      </c>
      <c r="C308" t="s">
        <v>1339</v>
      </c>
    </row>
    <row r="309" spans="1:3" x14ac:dyDescent="0.25">
      <c r="A309">
        <f t="shared" si="4"/>
        <v>3430</v>
      </c>
      <c r="B309">
        <v>3303430</v>
      </c>
      <c r="C309" t="s">
        <v>1340</v>
      </c>
    </row>
    <row r="310" spans="1:3" x14ac:dyDescent="0.25">
      <c r="A310">
        <f t="shared" si="4"/>
        <v>3433</v>
      </c>
      <c r="B310">
        <v>3303433</v>
      </c>
      <c r="C310" t="s">
        <v>1341</v>
      </c>
    </row>
    <row r="311" spans="1:3" x14ac:dyDescent="0.25">
      <c r="A311">
        <f t="shared" si="4"/>
        <v>5201</v>
      </c>
      <c r="B311">
        <v>3305201</v>
      </c>
      <c r="C311" t="s">
        <v>1342</v>
      </c>
    </row>
    <row r="312" spans="1:3" x14ac:dyDescent="0.25">
      <c r="A312">
        <f t="shared" si="4"/>
        <v>5205</v>
      </c>
      <c r="B312">
        <v>3305205</v>
      </c>
      <c r="C312" t="s">
        <v>1343</v>
      </c>
    </row>
    <row r="313" spans="1:3" x14ac:dyDescent="0.25">
      <c r="A313">
        <f t="shared" si="4"/>
        <v>2168</v>
      </c>
      <c r="B313">
        <v>3302168</v>
      </c>
      <c r="C313" t="s">
        <v>1344</v>
      </c>
    </row>
    <row r="314" spans="1:3" x14ac:dyDescent="0.25">
      <c r="A314">
        <f t="shared" si="4"/>
        <v>4000</v>
      </c>
      <c r="B314">
        <v>3304000</v>
      </c>
      <c r="C314" t="s">
        <v>1345</v>
      </c>
    </row>
    <row r="315" spans="1:3" x14ac:dyDescent="0.25">
      <c r="A315">
        <f t="shared" si="4"/>
        <v>4003</v>
      </c>
      <c r="B315">
        <v>3304003</v>
      </c>
      <c r="C315" t="s">
        <v>1346</v>
      </c>
    </row>
    <row r="316" spans="1:3" x14ac:dyDescent="0.25">
      <c r="A316">
        <f t="shared" si="4"/>
        <v>4004</v>
      </c>
      <c r="B316">
        <v>3304004</v>
      </c>
      <c r="C316" t="s">
        <v>1347</v>
      </c>
    </row>
    <row r="317" spans="1:3" x14ac:dyDescent="0.25">
      <c r="A317">
        <f t="shared" si="4"/>
        <v>4005</v>
      </c>
      <c r="B317">
        <v>3304005</v>
      </c>
      <c r="C317" t="s">
        <v>1348</v>
      </c>
    </row>
    <row r="318" spans="1:3" x14ac:dyDescent="0.25">
      <c r="A318">
        <f t="shared" si="4"/>
        <v>4006</v>
      </c>
      <c r="B318">
        <v>3304006</v>
      </c>
      <c r="C318" t="s">
        <v>1349</v>
      </c>
    </row>
    <row r="319" spans="1:3" x14ac:dyDescent="0.25">
      <c r="A319">
        <f t="shared" si="4"/>
        <v>4010</v>
      </c>
      <c r="B319">
        <v>3304010</v>
      </c>
      <c r="C319" t="s">
        <v>1350</v>
      </c>
    </row>
    <row r="320" spans="1:3" x14ac:dyDescent="0.25">
      <c r="A320">
        <f t="shared" si="4"/>
        <v>4012</v>
      </c>
      <c r="B320">
        <v>3304012</v>
      </c>
      <c r="C320" t="s">
        <v>1351</v>
      </c>
    </row>
    <row r="321" spans="1:3" x14ac:dyDescent="0.25">
      <c r="A321">
        <f t="shared" si="4"/>
        <v>4013</v>
      </c>
      <c r="B321">
        <v>3304013</v>
      </c>
      <c r="C321" t="s">
        <v>1352</v>
      </c>
    </row>
    <row r="322" spans="1:3" x14ac:dyDescent="0.25">
      <c r="A322">
        <f t="shared" si="4"/>
        <v>4014</v>
      </c>
      <c r="B322">
        <v>3304014</v>
      </c>
      <c r="C322" t="s">
        <v>1353</v>
      </c>
    </row>
    <row r="323" spans="1:3" x14ac:dyDescent="0.25">
      <c r="A323">
        <f t="shared" ref="A323:A385" si="5">VALUE(RIGHT(B323,4))</f>
        <v>4016</v>
      </c>
      <c r="B323">
        <v>3304016</v>
      </c>
      <c r="C323" t="s">
        <v>1354</v>
      </c>
    </row>
    <row r="324" spans="1:3" x14ac:dyDescent="0.25">
      <c r="A324">
        <f t="shared" si="5"/>
        <v>4018</v>
      </c>
      <c r="B324">
        <v>3304018</v>
      </c>
      <c r="C324" t="s">
        <v>1355</v>
      </c>
    </row>
    <row r="325" spans="1:3" x14ac:dyDescent="0.25">
      <c r="A325">
        <f t="shared" si="5"/>
        <v>4021</v>
      </c>
      <c r="B325">
        <v>3304021</v>
      </c>
      <c r="C325" t="s">
        <v>1356</v>
      </c>
    </row>
    <row r="326" spans="1:3" x14ac:dyDescent="0.25">
      <c r="A326">
        <f t="shared" si="5"/>
        <v>4022</v>
      </c>
      <c r="B326">
        <v>3304022</v>
      </c>
      <c r="C326" t="s">
        <v>1357</v>
      </c>
    </row>
    <row r="327" spans="1:3" x14ac:dyDescent="0.25">
      <c r="A327">
        <f t="shared" si="5"/>
        <v>4024</v>
      </c>
      <c r="B327">
        <v>3304024</v>
      </c>
      <c r="C327" t="s">
        <v>1358</v>
      </c>
    </row>
    <row r="328" spans="1:3" x14ac:dyDescent="0.25">
      <c r="A328">
        <f t="shared" si="5"/>
        <v>4025</v>
      </c>
      <c r="B328">
        <v>3304025</v>
      </c>
      <c r="C328" t="s">
        <v>1359</v>
      </c>
    </row>
    <row r="329" spans="1:3" x14ac:dyDescent="0.25">
      <c r="A329">
        <f t="shared" si="5"/>
        <v>4026</v>
      </c>
      <c r="B329">
        <v>3304026</v>
      </c>
      <c r="C329" t="s">
        <v>1360</v>
      </c>
    </row>
    <row r="330" spans="1:3" x14ac:dyDescent="0.25">
      <c r="A330">
        <f t="shared" si="5"/>
        <v>4027</v>
      </c>
      <c r="B330">
        <v>3304027</v>
      </c>
      <c r="C330" t="s">
        <v>1361</v>
      </c>
    </row>
    <row r="331" spans="1:3" x14ac:dyDescent="0.25">
      <c r="A331">
        <f t="shared" si="5"/>
        <v>4029</v>
      </c>
      <c r="B331">
        <v>3304029</v>
      </c>
      <c r="C331" t="s">
        <v>1362</v>
      </c>
    </row>
    <row r="332" spans="1:3" x14ac:dyDescent="0.25">
      <c r="A332">
        <f t="shared" si="5"/>
        <v>4031</v>
      </c>
      <c r="B332">
        <v>3304031</v>
      </c>
      <c r="C332" t="s">
        <v>1363</v>
      </c>
    </row>
    <row r="333" spans="1:3" x14ac:dyDescent="0.25">
      <c r="A333">
        <f t="shared" si="5"/>
        <v>4032</v>
      </c>
      <c r="B333">
        <v>3304032</v>
      </c>
      <c r="C333" t="s">
        <v>1364</v>
      </c>
    </row>
    <row r="334" spans="1:3" x14ac:dyDescent="0.25">
      <c r="A334">
        <f t="shared" si="5"/>
        <v>4035</v>
      </c>
      <c r="B334">
        <v>3304035</v>
      </c>
      <c r="C334" t="s">
        <v>1365</v>
      </c>
    </row>
    <row r="335" spans="1:3" x14ac:dyDescent="0.25">
      <c r="A335">
        <f t="shared" si="5"/>
        <v>4036</v>
      </c>
      <c r="B335">
        <v>3304036</v>
      </c>
      <c r="C335" t="s">
        <v>1366</v>
      </c>
    </row>
    <row r="336" spans="1:3" x14ac:dyDescent="0.25">
      <c r="A336">
        <f t="shared" si="5"/>
        <v>4039</v>
      </c>
      <c r="B336">
        <v>3304039</v>
      </c>
      <c r="C336" t="s">
        <v>1367</v>
      </c>
    </row>
    <row r="337" spans="1:3" x14ac:dyDescent="0.25">
      <c r="A337">
        <f t="shared" si="5"/>
        <v>4040</v>
      </c>
      <c r="B337">
        <v>3304040</v>
      </c>
      <c r="C337" t="s">
        <v>531</v>
      </c>
    </row>
    <row r="338" spans="1:3" x14ac:dyDescent="0.25">
      <c r="A338">
        <f t="shared" si="5"/>
        <v>4041</v>
      </c>
      <c r="B338">
        <v>3304041</v>
      </c>
      <c r="C338" t="s">
        <v>1368</v>
      </c>
    </row>
    <row r="339" spans="1:3" x14ac:dyDescent="0.25">
      <c r="A339">
        <f t="shared" si="5"/>
        <v>4042</v>
      </c>
      <c r="B339">
        <v>3304042</v>
      </c>
      <c r="C339" t="s">
        <v>1369</v>
      </c>
    </row>
    <row r="340" spans="1:3" x14ac:dyDescent="0.25">
      <c r="A340">
        <f t="shared" si="5"/>
        <v>4060</v>
      </c>
      <c r="B340">
        <v>3304060</v>
      </c>
      <c r="C340" t="s">
        <v>1370</v>
      </c>
    </row>
    <row r="341" spans="1:3" x14ac:dyDescent="0.25">
      <c r="A341">
        <f t="shared" si="5"/>
        <v>4108</v>
      </c>
      <c r="B341">
        <v>3304108</v>
      </c>
      <c r="C341" t="s">
        <v>1371</v>
      </c>
    </row>
    <row r="342" spans="1:3" x14ac:dyDescent="0.25">
      <c r="A342">
        <f t="shared" si="5"/>
        <v>4129</v>
      </c>
      <c r="B342">
        <v>3304129</v>
      </c>
      <c r="C342" t="s">
        <v>1372</v>
      </c>
    </row>
    <row r="343" spans="1:3" x14ac:dyDescent="0.25">
      <c r="A343">
        <f t="shared" si="5"/>
        <v>4187</v>
      </c>
      <c r="B343">
        <v>3304187</v>
      </c>
      <c r="C343" t="s">
        <v>1373</v>
      </c>
    </row>
    <row r="344" spans="1:3" x14ac:dyDescent="0.25">
      <c r="A344">
        <f t="shared" si="5"/>
        <v>4206</v>
      </c>
      <c r="B344">
        <v>3304206</v>
      </c>
      <c r="C344" t="s">
        <v>1374</v>
      </c>
    </row>
    <row r="345" spans="1:3" x14ac:dyDescent="0.25">
      <c r="A345">
        <f t="shared" si="5"/>
        <v>4207</v>
      </c>
      <c r="B345">
        <v>3304207</v>
      </c>
      <c r="C345" t="s">
        <v>1375</v>
      </c>
    </row>
    <row r="346" spans="1:3" x14ac:dyDescent="0.25">
      <c r="A346">
        <f t="shared" si="5"/>
        <v>4220</v>
      </c>
      <c r="B346">
        <v>3304220</v>
      </c>
      <c r="C346" t="s">
        <v>1376</v>
      </c>
    </row>
    <row r="347" spans="1:3" x14ac:dyDescent="0.25">
      <c r="A347">
        <f t="shared" si="5"/>
        <v>4227</v>
      </c>
      <c r="B347">
        <v>3304227</v>
      </c>
      <c r="C347" t="s">
        <v>1377</v>
      </c>
    </row>
    <row r="348" spans="1:3" x14ac:dyDescent="0.25">
      <c r="A348">
        <f t="shared" si="5"/>
        <v>4240</v>
      </c>
      <c r="B348">
        <v>3304240</v>
      </c>
      <c r="C348" t="s">
        <v>1378</v>
      </c>
    </row>
    <row r="349" spans="1:3" x14ac:dyDescent="0.25">
      <c r="A349">
        <f t="shared" si="5"/>
        <v>4241</v>
      </c>
      <c r="B349">
        <v>3304241</v>
      </c>
      <c r="C349" t="s">
        <v>1379</v>
      </c>
    </row>
    <row r="350" spans="1:3" x14ac:dyDescent="0.25">
      <c r="A350">
        <f t="shared" si="5"/>
        <v>4246</v>
      </c>
      <c r="B350">
        <v>3304246</v>
      </c>
      <c r="C350" t="s">
        <v>1380</v>
      </c>
    </row>
    <row r="351" spans="1:3" x14ac:dyDescent="0.25">
      <c r="A351">
        <f t="shared" si="5"/>
        <v>4300</v>
      </c>
      <c r="B351">
        <v>3304300</v>
      </c>
      <c r="C351" t="s">
        <v>1381</v>
      </c>
    </row>
    <row r="352" spans="1:3" x14ac:dyDescent="0.25">
      <c r="A352">
        <f t="shared" si="5"/>
        <v>4307</v>
      </c>
      <c r="B352">
        <v>3304307</v>
      </c>
      <c r="C352" t="s">
        <v>1382</v>
      </c>
    </row>
    <row r="353" spans="1:3" x14ac:dyDescent="0.25">
      <c r="A353">
        <f t="shared" si="5"/>
        <v>4323</v>
      </c>
      <c r="B353">
        <v>3304323</v>
      </c>
      <c r="C353" t="s">
        <v>1383</v>
      </c>
    </row>
    <row r="354" spans="1:3" x14ac:dyDescent="0.25">
      <c r="A354">
        <f t="shared" si="5"/>
        <v>4331</v>
      </c>
      <c r="B354">
        <v>3304331</v>
      </c>
      <c r="C354" t="s">
        <v>1384</v>
      </c>
    </row>
    <row r="355" spans="1:3" x14ac:dyDescent="0.25">
      <c r="A355">
        <f t="shared" si="5"/>
        <v>4616</v>
      </c>
      <c r="B355">
        <v>3304616</v>
      </c>
      <c r="C355" t="s">
        <v>1385</v>
      </c>
    </row>
    <row r="356" spans="1:3" x14ac:dyDescent="0.25">
      <c r="A356">
        <f t="shared" si="5"/>
        <v>4660</v>
      </c>
      <c r="B356">
        <v>3304660</v>
      </c>
      <c r="C356" t="s">
        <v>1386</v>
      </c>
    </row>
    <row r="357" spans="1:3" x14ac:dyDescent="0.25">
      <c r="A357">
        <f t="shared" si="5"/>
        <v>4661</v>
      </c>
      <c r="B357">
        <v>3304661</v>
      </c>
      <c r="C357" t="s">
        <v>1387</v>
      </c>
    </row>
    <row r="358" spans="1:3" x14ac:dyDescent="0.25">
      <c r="A358">
        <f t="shared" si="5"/>
        <v>4663</v>
      </c>
      <c r="B358">
        <v>3304663</v>
      </c>
      <c r="C358" t="s">
        <v>1388</v>
      </c>
    </row>
    <row r="359" spans="1:3" x14ac:dyDescent="0.25">
      <c r="A359">
        <f t="shared" si="5"/>
        <v>4804</v>
      </c>
      <c r="B359">
        <v>3304804</v>
      </c>
      <c r="C359" t="s">
        <v>1389</v>
      </c>
    </row>
    <row r="360" spans="1:3" x14ac:dyDescent="0.25">
      <c r="A360">
        <f t="shared" si="5"/>
        <v>5402</v>
      </c>
      <c r="B360">
        <v>3305402</v>
      </c>
      <c r="C360" t="s">
        <v>1390</v>
      </c>
    </row>
    <row r="361" spans="1:3" x14ac:dyDescent="0.25">
      <c r="A361">
        <f t="shared" si="5"/>
        <v>5403</v>
      </c>
      <c r="B361">
        <v>3305403</v>
      </c>
      <c r="C361" t="s">
        <v>1391</v>
      </c>
    </row>
    <row r="362" spans="1:3" x14ac:dyDescent="0.25">
      <c r="A362">
        <f t="shared" si="5"/>
        <v>5404</v>
      </c>
      <c r="B362">
        <v>3305404</v>
      </c>
      <c r="C362" t="s">
        <v>1392</v>
      </c>
    </row>
    <row r="363" spans="1:3" x14ac:dyDescent="0.25">
      <c r="A363">
        <f t="shared" si="5"/>
        <v>5405</v>
      </c>
      <c r="B363">
        <v>3305405</v>
      </c>
      <c r="C363" t="s">
        <v>1393</v>
      </c>
    </row>
    <row r="364" spans="1:3" x14ac:dyDescent="0.25">
      <c r="A364">
        <f t="shared" si="5"/>
        <v>5406</v>
      </c>
      <c r="B364">
        <v>3305406</v>
      </c>
      <c r="C364" t="s">
        <v>1394</v>
      </c>
    </row>
    <row r="365" spans="1:3" x14ac:dyDescent="0.25">
      <c r="A365">
        <f t="shared" si="5"/>
        <v>5407</v>
      </c>
      <c r="B365">
        <v>3305407</v>
      </c>
      <c r="C365" t="s">
        <v>1395</v>
      </c>
    </row>
    <row r="366" spans="1:3" x14ac:dyDescent="0.25">
      <c r="A366">
        <f t="shared" si="5"/>
        <v>5408</v>
      </c>
      <c r="B366">
        <v>3305408</v>
      </c>
      <c r="C366" t="s">
        <v>1396</v>
      </c>
    </row>
    <row r="367" spans="1:3" x14ac:dyDescent="0.25">
      <c r="A367">
        <f t="shared" si="5"/>
        <v>5409</v>
      </c>
      <c r="B367">
        <v>3305409</v>
      </c>
      <c r="C367" t="s">
        <v>1397</v>
      </c>
    </row>
    <row r="368" spans="1:3" x14ac:dyDescent="0.25">
      <c r="A368">
        <f t="shared" si="5"/>
        <v>5410</v>
      </c>
      <c r="B368">
        <v>3305410</v>
      </c>
      <c r="C368" t="s">
        <v>1398</v>
      </c>
    </row>
    <row r="369" spans="1:3" x14ac:dyDescent="0.25">
      <c r="A369">
        <f t="shared" si="5"/>
        <v>5411</v>
      </c>
      <c r="B369">
        <v>3305411</v>
      </c>
      <c r="C369" t="s">
        <v>1399</v>
      </c>
    </row>
    <row r="370" spans="1:3" x14ac:dyDescent="0.25">
      <c r="A370">
        <f t="shared" si="5"/>
        <v>5412</v>
      </c>
      <c r="B370">
        <v>3305412</v>
      </c>
      <c r="C370" t="s">
        <v>1400</v>
      </c>
    </row>
    <row r="371" spans="1:3" x14ac:dyDescent="0.25">
      <c r="A371">
        <f t="shared" si="5"/>
        <v>5414</v>
      </c>
      <c r="B371">
        <v>3305414</v>
      </c>
      <c r="C371" t="s">
        <v>1401</v>
      </c>
    </row>
    <row r="372" spans="1:3" x14ac:dyDescent="0.25">
      <c r="A372">
        <f t="shared" si="5"/>
        <v>6905</v>
      </c>
      <c r="B372">
        <v>3306905</v>
      </c>
      <c r="C372" t="s">
        <v>1402</v>
      </c>
    </row>
    <row r="373" spans="1:3" x14ac:dyDescent="0.25">
      <c r="A373">
        <f t="shared" si="5"/>
        <v>6906</v>
      </c>
      <c r="B373">
        <v>3306906</v>
      </c>
      <c r="C373" t="s">
        <v>1403</v>
      </c>
    </row>
    <row r="374" spans="1:3" x14ac:dyDescent="0.25">
      <c r="A374">
        <f t="shared" si="5"/>
        <v>6907</v>
      </c>
      <c r="B374">
        <v>3306907</v>
      </c>
      <c r="C374" t="s">
        <v>1404</v>
      </c>
    </row>
    <row r="375" spans="1:3" x14ac:dyDescent="0.25">
      <c r="A375">
        <f t="shared" si="5"/>
        <v>6908</v>
      </c>
      <c r="B375">
        <v>3306908</v>
      </c>
      <c r="C375" t="s">
        <v>1405</v>
      </c>
    </row>
    <row r="376" spans="1:3" x14ac:dyDescent="0.25">
      <c r="A376">
        <f t="shared" si="5"/>
        <v>6909</v>
      </c>
      <c r="B376">
        <v>3306909</v>
      </c>
      <c r="C376" t="s">
        <v>1406</v>
      </c>
    </row>
    <row r="377" spans="1:3" x14ac:dyDescent="0.25">
      <c r="A377">
        <f t="shared" si="5"/>
        <v>6910</v>
      </c>
      <c r="B377">
        <v>3306910</v>
      </c>
      <c r="C377" t="s">
        <v>1407</v>
      </c>
    </row>
    <row r="378" spans="1:3" x14ac:dyDescent="0.25">
      <c r="A378">
        <f t="shared" si="5"/>
        <v>4001</v>
      </c>
      <c r="B378">
        <v>3304001</v>
      </c>
      <c r="C378" t="s">
        <v>1408</v>
      </c>
    </row>
    <row r="379" spans="1:3" x14ac:dyDescent="0.25">
      <c r="A379">
        <f t="shared" si="5"/>
        <v>4009</v>
      </c>
      <c r="B379">
        <v>3304009</v>
      </c>
      <c r="C379" t="s">
        <v>1409</v>
      </c>
    </row>
    <row r="380" spans="1:3" x14ac:dyDescent="0.25">
      <c r="A380">
        <f t="shared" si="5"/>
        <v>4017</v>
      </c>
      <c r="B380">
        <v>3304017</v>
      </c>
      <c r="C380" t="s">
        <v>1410</v>
      </c>
    </row>
    <row r="381" spans="1:3" x14ac:dyDescent="0.25">
      <c r="A381">
        <f t="shared" si="5"/>
        <v>4019</v>
      </c>
      <c r="B381">
        <v>3304019</v>
      </c>
      <c r="C381" t="s">
        <v>1411</v>
      </c>
    </row>
    <row r="382" spans="1:3" x14ac:dyDescent="0.25">
      <c r="A382">
        <f t="shared" si="5"/>
        <v>4020</v>
      </c>
      <c r="B382">
        <v>3304020</v>
      </c>
      <c r="C382" t="s">
        <v>1412</v>
      </c>
    </row>
    <row r="383" spans="1:3" x14ac:dyDescent="0.25">
      <c r="A383">
        <f t="shared" si="5"/>
        <v>4038</v>
      </c>
      <c r="B383">
        <v>3304038</v>
      </c>
      <c r="C383" t="s">
        <v>1413</v>
      </c>
    </row>
    <row r="384" spans="1:3" x14ac:dyDescent="0.25">
      <c r="A384">
        <f t="shared" si="5"/>
        <v>4084</v>
      </c>
      <c r="B384">
        <v>3304084</v>
      </c>
      <c r="C384" t="s">
        <v>1414</v>
      </c>
    </row>
    <row r="385" spans="1:3" x14ac:dyDescent="0.25">
      <c r="A385">
        <f t="shared" si="5"/>
        <v>123</v>
      </c>
      <c r="B385">
        <v>3300123</v>
      </c>
      <c r="C385" t="s">
        <v>1415</v>
      </c>
    </row>
  </sheetData>
  <autoFilter ref="A1:C385" xr:uid="{6AE8B678-9E06-4520-B2D8-0572BAF76FD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7DC3-583E-484D-ABAF-5BEE4AA00133}">
  <sheetPr codeName="Sheet2">
    <pageSetUpPr fitToPage="1"/>
  </sheetPr>
  <dimension ref="A1:Y83"/>
  <sheetViews>
    <sheetView showGridLines="0" zoomScale="90" zoomScaleNormal="90" workbookViewId="0">
      <selection activeCell="L16" sqref="L16"/>
    </sheetView>
  </sheetViews>
  <sheetFormatPr defaultColWidth="9.21875" defaultRowHeight="13.2" x14ac:dyDescent="0.25"/>
  <cols>
    <col min="1" max="1" width="3.77734375" style="1" customWidth="1"/>
    <col min="2" max="3" width="9.21875" style="1"/>
    <col min="4" max="4" width="10.77734375" style="1" bestFit="1" customWidth="1"/>
    <col min="5" max="5" width="4.5546875" style="1" customWidth="1"/>
    <col min="6" max="7" width="9.21875" style="1"/>
    <col min="8" max="8" width="10.44140625" style="1" customWidth="1"/>
    <col min="9" max="11" width="15.77734375" style="1" customWidth="1"/>
    <col min="12" max="12" width="22.77734375" style="1" bestFit="1" customWidth="1"/>
    <col min="13" max="13" width="16.21875" style="1" customWidth="1"/>
    <col min="14" max="14" width="4.21875" style="1" customWidth="1"/>
    <col min="15" max="16384" width="9.21875" style="1"/>
  </cols>
  <sheetData>
    <row r="1" spans="1:25" x14ac:dyDescent="0.25">
      <c r="A1" s="36"/>
      <c r="B1" s="36"/>
      <c r="C1" s="36"/>
      <c r="D1" s="36"/>
      <c r="E1" s="36"/>
      <c r="F1" s="36"/>
      <c r="G1" s="37"/>
      <c r="H1" s="37"/>
      <c r="I1" s="36"/>
      <c r="J1" s="36"/>
      <c r="K1" s="36"/>
      <c r="L1" s="3"/>
      <c r="M1" s="3"/>
      <c r="O1" s="3"/>
      <c r="P1" s="2"/>
      <c r="S1" s="36"/>
      <c r="T1" s="38"/>
      <c r="U1" s="36"/>
      <c r="V1" s="36"/>
      <c r="W1" s="36"/>
      <c r="X1" s="36"/>
      <c r="Y1" s="36"/>
    </row>
    <row r="2" spans="1:25" ht="27" customHeight="1" x14ac:dyDescent="0.25">
      <c r="A2" s="36"/>
      <c r="B2" s="36"/>
      <c r="C2" s="36"/>
      <c r="D2" s="36"/>
      <c r="E2" s="36"/>
      <c r="F2" s="36"/>
      <c r="G2" s="36"/>
      <c r="H2" s="36"/>
      <c r="I2" s="36"/>
      <c r="J2" s="36"/>
      <c r="K2" s="36"/>
      <c r="P2" s="2"/>
      <c r="S2" s="36"/>
      <c r="T2" s="36"/>
      <c r="U2" s="36"/>
      <c r="V2" s="36"/>
      <c r="W2" s="36"/>
      <c r="X2" s="36"/>
      <c r="Y2" s="36"/>
    </row>
    <row r="3" spans="1:25" ht="6.75" customHeight="1" x14ac:dyDescent="0.25">
      <c r="B3" s="4"/>
      <c r="C3" s="5"/>
      <c r="D3" s="5"/>
      <c r="E3" s="5"/>
      <c r="F3" s="5"/>
      <c r="G3" s="5"/>
      <c r="H3" s="5"/>
      <c r="I3" s="5"/>
      <c r="J3" s="5"/>
      <c r="K3" s="5"/>
      <c r="L3" s="5"/>
      <c r="M3" s="5"/>
      <c r="N3" s="6"/>
      <c r="S3" s="36"/>
      <c r="T3" s="36"/>
      <c r="U3" s="36"/>
      <c r="V3" s="36"/>
      <c r="W3" s="36"/>
      <c r="X3" s="36"/>
      <c r="Y3" s="36"/>
    </row>
    <row r="4" spans="1:25" ht="22.8" x14ac:dyDescent="0.4">
      <c r="B4" s="56" t="s">
        <v>1195</v>
      </c>
      <c r="C4" s="57"/>
      <c r="D4" s="57"/>
      <c r="E4" s="57"/>
      <c r="F4" s="57"/>
      <c r="G4" s="57"/>
      <c r="H4" s="57"/>
      <c r="I4" s="57"/>
      <c r="J4" s="57"/>
      <c r="K4" s="57"/>
      <c r="L4" s="57"/>
      <c r="M4" s="57"/>
      <c r="N4" s="58"/>
      <c r="S4" s="36"/>
      <c r="T4" s="36"/>
      <c r="U4" s="36"/>
      <c r="V4" s="36"/>
      <c r="W4" s="36"/>
      <c r="X4" s="36"/>
      <c r="Y4" s="36"/>
    </row>
    <row r="5" spans="1:25" x14ac:dyDescent="0.25">
      <c r="B5" s="7"/>
      <c r="N5" s="8"/>
      <c r="S5" s="36"/>
      <c r="T5" s="36"/>
      <c r="U5" s="36"/>
      <c r="V5" s="36"/>
      <c r="W5" s="36"/>
      <c r="X5" s="36"/>
      <c r="Y5" s="36"/>
    </row>
    <row r="6" spans="1:25" ht="15.6" x14ac:dyDescent="0.3">
      <c r="B6" s="9" t="s">
        <v>0</v>
      </c>
      <c r="C6" s="10"/>
      <c r="D6" s="397">
        <f>'MENU '!B18</f>
        <v>0</v>
      </c>
      <c r="N6" s="8"/>
      <c r="S6" s="36"/>
      <c r="T6" s="36"/>
      <c r="U6" s="36"/>
      <c r="V6" s="36"/>
      <c r="W6" s="36"/>
      <c r="X6" s="36"/>
      <c r="Y6" s="36"/>
    </row>
    <row r="7" spans="1:25" ht="9" customHeight="1" x14ac:dyDescent="0.3">
      <c r="B7" s="9"/>
      <c r="C7" s="10"/>
      <c r="D7" s="39"/>
      <c r="N7" s="8"/>
      <c r="S7" s="36"/>
      <c r="T7" s="36"/>
      <c r="U7" s="36"/>
      <c r="V7" s="36"/>
      <c r="W7" s="36"/>
      <c r="X7" s="36"/>
      <c r="Y7" s="36"/>
    </row>
    <row r="8" spans="1:25" ht="17.399999999999999" x14ac:dyDescent="0.3">
      <c r="B8" s="9" t="s">
        <v>1</v>
      </c>
      <c r="C8" s="12"/>
      <c r="D8" s="398">
        <f>'MENU '!G16</f>
        <v>0</v>
      </c>
      <c r="F8" s="30"/>
      <c r="N8" s="8"/>
      <c r="S8" s="36"/>
      <c r="T8" s="36"/>
      <c r="U8" s="36"/>
      <c r="V8" s="36"/>
      <c r="W8" s="36"/>
      <c r="X8" s="36"/>
      <c r="Y8" s="36"/>
    </row>
    <row r="9" spans="1:25" ht="25.5" customHeight="1" x14ac:dyDescent="0.3">
      <c r="B9" s="9"/>
      <c r="C9" s="12"/>
      <c r="D9" s="40"/>
      <c r="F9" s="14"/>
      <c r="N9" s="8"/>
      <c r="S9" s="36"/>
      <c r="T9" s="36"/>
      <c r="U9" s="36"/>
      <c r="V9" s="36"/>
      <c r="W9" s="36"/>
      <c r="X9" s="36"/>
      <c r="Y9" s="36"/>
    </row>
    <row r="10" spans="1:25" ht="15.6" x14ac:dyDescent="0.3">
      <c r="B10" s="9" t="s">
        <v>2</v>
      </c>
      <c r="C10" s="10"/>
      <c r="D10" s="397">
        <f>'MENU '!B20</f>
        <v>0</v>
      </c>
      <c r="N10" s="8"/>
      <c r="S10" s="36"/>
      <c r="T10" s="36"/>
      <c r="U10" s="36"/>
      <c r="V10" s="36"/>
      <c r="W10" s="36"/>
      <c r="X10" s="36"/>
      <c r="Y10" s="36"/>
    </row>
    <row r="11" spans="1:25" ht="15.6" x14ac:dyDescent="0.3">
      <c r="B11" s="9"/>
      <c r="C11" s="10"/>
      <c r="D11" s="11"/>
      <c r="N11" s="8"/>
      <c r="S11" s="36"/>
      <c r="T11" s="36"/>
      <c r="U11" s="36"/>
      <c r="V11" s="36"/>
      <c r="W11" s="36"/>
      <c r="X11" s="36"/>
      <c r="Y11" s="36"/>
    </row>
    <row r="12" spans="1:25" ht="17.399999999999999" x14ac:dyDescent="0.3">
      <c r="B12" s="59"/>
      <c r="C12" s="60"/>
      <c r="D12" s="61"/>
      <c r="E12" s="60"/>
      <c r="F12" s="60"/>
      <c r="G12" s="60"/>
      <c r="H12" s="60"/>
      <c r="I12" s="62"/>
      <c r="J12" s="63" t="s">
        <v>3</v>
      </c>
      <c r="K12" s="63" t="s">
        <v>3</v>
      </c>
      <c r="L12" s="63" t="s">
        <v>3</v>
      </c>
      <c r="M12" s="63"/>
      <c r="N12" s="64"/>
      <c r="S12" s="36"/>
      <c r="T12" s="36"/>
      <c r="U12" s="36"/>
      <c r="V12" s="36"/>
      <c r="W12" s="36"/>
      <c r="X12" s="36"/>
      <c r="Y12" s="36"/>
    </row>
    <row r="13" spans="1:25" ht="19.5" customHeight="1" x14ac:dyDescent="0.25">
      <c r="B13" s="7"/>
      <c r="N13" s="8"/>
      <c r="S13" s="36"/>
      <c r="T13" s="36"/>
      <c r="U13" s="36"/>
      <c r="V13" s="36"/>
      <c r="W13" s="36"/>
      <c r="X13" s="36"/>
      <c r="Y13" s="36"/>
    </row>
    <row r="14" spans="1:25" ht="15.6" x14ac:dyDescent="0.3">
      <c r="B14" s="7"/>
      <c r="D14" s="13" t="s">
        <v>4</v>
      </c>
      <c r="N14" s="8"/>
      <c r="S14" s="36"/>
      <c r="T14" s="36"/>
      <c r="U14" s="36"/>
      <c r="V14" s="36"/>
      <c r="W14" s="36"/>
      <c r="X14" s="36"/>
      <c r="Y14" s="36"/>
    </row>
    <row r="15" spans="1:25" x14ac:dyDescent="0.25">
      <c r="B15" s="7"/>
      <c r="N15" s="8"/>
      <c r="S15" s="36"/>
      <c r="T15" s="36"/>
      <c r="U15" s="36"/>
      <c r="V15" s="36"/>
      <c r="W15" s="36"/>
      <c r="X15" s="36"/>
      <c r="Y15" s="36"/>
    </row>
    <row r="16" spans="1:25" ht="15.6" x14ac:dyDescent="0.3">
      <c r="B16" s="7"/>
      <c r="D16" s="14" t="s">
        <v>1196</v>
      </c>
      <c r="J16" s="15"/>
      <c r="K16" s="15"/>
      <c r="L16" s="16">
        <f>IFERROR(VLOOKUP(D8,'Carry Forward 2022'!B10:AL251,9,0),0)</f>
        <v>0</v>
      </c>
      <c r="M16" s="17"/>
      <c r="N16" s="8"/>
      <c r="S16" s="36"/>
      <c r="T16" s="36"/>
      <c r="U16" s="36"/>
      <c r="V16" s="36"/>
      <c r="W16" s="36"/>
      <c r="X16" s="36"/>
      <c r="Y16" s="36"/>
    </row>
    <row r="17" spans="2:25" ht="15" x14ac:dyDescent="0.25">
      <c r="B17" s="7"/>
      <c r="J17" s="18"/>
      <c r="K17" s="18"/>
      <c r="L17" s="17"/>
      <c r="M17" s="17"/>
      <c r="N17" s="8"/>
      <c r="S17" s="36"/>
      <c r="T17" s="36"/>
      <c r="U17" s="36"/>
      <c r="V17" s="36"/>
      <c r="W17" s="36"/>
      <c r="X17" s="36"/>
      <c r="Y17" s="36"/>
    </row>
    <row r="18" spans="2:25" ht="15.6" x14ac:dyDescent="0.3">
      <c r="B18" s="7"/>
      <c r="C18" s="19"/>
      <c r="D18" s="14" t="s">
        <v>1491</v>
      </c>
      <c r="E18" s="20"/>
      <c r="F18" s="20"/>
      <c r="G18" s="20"/>
      <c r="H18" s="20"/>
      <c r="I18" s="21"/>
      <c r="J18" s="15"/>
      <c r="K18" s="15"/>
      <c r="L18" s="294">
        <f>IFERROR(VLOOKUP(D8,'Carry Forward 2022'!B10:AL251,10,0),0)</f>
        <v>0</v>
      </c>
      <c r="M18" s="21"/>
      <c r="N18" s="8"/>
      <c r="S18" s="36"/>
      <c r="T18" s="36"/>
      <c r="U18" s="36"/>
      <c r="V18" s="36"/>
      <c r="W18" s="36"/>
      <c r="X18" s="36"/>
      <c r="Y18" s="36"/>
    </row>
    <row r="19" spans="2:25" ht="15.6" x14ac:dyDescent="0.3">
      <c r="B19" s="7"/>
      <c r="C19" s="19"/>
      <c r="D19" s="14" t="s">
        <v>5</v>
      </c>
      <c r="E19" s="20"/>
      <c r="F19" s="20"/>
      <c r="G19" s="20"/>
      <c r="H19" s="20"/>
      <c r="I19" s="21"/>
      <c r="J19" s="21"/>
      <c r="K19" s="21"/>
      <c r="L19" s="21"/>
      <c r="M19" s="21"/>
      <c r="N19" s="8"/>
      <c r="S19" s="36"/>
      <c r="T19" s="36"/>
      <c r="U19" s="36"/>
      <c r="V19" s="36"/>
      <c r="W19" s="36"/>
      <c r="X19" s="36"/>
      <c r="Y19" s="36"/>
    </row>
    <row r="20" spans="2:25" ht="15.6" x14ac:dyDescent="0.3">
      <c r="B20" s="7"/>
      <c r="C20" s="19"/>
      <c r="D20" s="14"/>
      <c r="E20" s="20"/>
      <c r="F20" s="20"/>
      <c r="G20" s="20"/>
      <c r="H20" s="20"/>
      <c r="I20" s="21"/>
      <c r="J20" s="21"/>
      <c r="K20" s="21"/>
      <c r="L20" s="21"/>
      <c r="M20" s="21"/>
      <c r="N20" s="8"/>
      <c r="S20" s="36"/>
      <c r="T20" s="36"/>
      <c r="U20" s="36"/>
      <c r="V20" s="36"/>
      <c r="W20" s="36"/>
      <c r="X20" s="36"/>
      <c r="Y20" s="36"/>
    </row>
    <row r="21" spans="2:25" ht="15.6" x14ac:dyDescent="0.3">
      <c r="B21" s="7"/>
      <c r="C21" s="19"/>
      <c r="D21" s="13" t="s">
        <v>6</v>
      </c>
      <c r="E21" s="20"/>
      <c r="F21" s="20"/>
      <c r="G21" s="20"/>
      <c r="H21" s="20"/>
      <c r="I21" s="21"/>
      <c r="J21" s="23"/>
      <c r="K21" s="23"/>
      <c r="L21" s="21"/>
      <c r="M21" s="21"/>
      <c r="N21" s="8"/>
    </row>
    <row r="22" spans="2:25" ht="15.6" x14ac:dyDescent="0.3">
      <c r="B22" s="7"/>
      <c r="C22" s="19"/>
      <c r="D22" s="20" t="s">
        <v>7</v>
      </c>
      <c r="E22" s="20"/>
      <c r="F22" s="20"/>
      <c r="G22" s="20"/>
      <c r="H22" s="20"/>
      <c r="I22" s="21"/>
      <c r="J22" s="24">
        <f>IFERROR(VLOOKUP(D8,'SBS Additions'!B4:BQ272,64,0),)</f>
        <v>0</v>
      </c>
      <c r="K22" s="24"/>
      <c r="L22" s="21"/>
      <c r="M22" s="24"/>
      <c r="N22" s="8"/>
    </row>
    <row r="23" spans="2:25" ht="15.6" x14ac:dyDescent="0.3">
      <c r="B23" s="7"/>
      <c r="C23" s="19"/>
      <c r="D23" s="20" t="s">
        <v>8</v>
      </c>
      <c r="E23" s="20"/>
      <c r="F23" s="20"/>
      <c r="G23" s="20"/>
      <c r="H23" s="20"/>
      <c r="I23" s="21"/>
      <c r="J23" s="24">
        <f>IFERROR(VLOOKUP(D8,'SBS Additions'!B4:BQ272,25,0),0)</f>
        <v>0</v>
      </c>
      <c r="K23" s="24"/>
      <c r="L23" s="21"/>
      <c r="M23" s="24"/>
      <c r="N23" s="8"/>
    </row>
    <row r="24" spans="2:25" ht="15.6" x14ac:dyDescent="0.3">
      <c r="B24" s="7"/>
      <c r="C24" s="19"/>
      <c r="D24" s="20" t="s">
        <v>10</v>
      </c>
      <c r="E24" s="20"/>
      <c r="F24" s="20"/>
      <c r="G24" s="20"/>
      <c r="H24" s="20"/>
      <c r="I24" s="21"/>
      <c r="J24" s="24">
        <f>IFERROR(VLOOKUP(D8,'SBS Additions'!B4:BQ272,33,0),0)</f>
        <v>0</v>
      </c>
      <c r="K24" s="24"/>
      <c r="L24" s="21"/>
      <c r="M24" s="24"/>
      <c r="N24" s="8"/>
    </row>
    <row r="25" spans="2:25" ht="15.6" x14ac:dyDescent="0.3">
      <c r="B25" s="7"/>
      <c r="C25" s="19"/>
      <c r="D25" s="20" t="s">
        <v>11</v>
      </c>
      <c r="E25" s="20"/>
      <c r="F25" s="20"/>
      <c r="G25" s="20"/>
      <c r="H25" s="20"/>
      <c r="I25" s="21"/>
      <c r="J25" s="24">
        <f>IFERROR(VLOOKUP(D8,'SBS Additions'!B4:BQ272,28,0),0)</f>
        <v>0</v>
      </c>
      <c r="K25" s="24"/>
      <c r="L25" s="21"/>
      <c r="M25" s="23"/>
      <c r="N25" s="8"/>
    </row>
    <row r="26" spans="2:25" ht="15.6" x14ac:dyDescent="0.3">
      <c r="B26" s="7"/>
      <c r="C26" s="19"/>
      <c r="D26" s="20" t="s">
        <v>12</v>
      </c>
      <c r="E26" s="20"/>
      <c r="F26" s="20"/>
      <c r="G26" s="20"/>
      <c r="H26" s="20"/>
      <c r="I26" s="21"/>
      <c r="J26" s="24">
        <f>IFERROR(VLOOKUP(D8,'SBS Additions'!B4:BQ272,37,0),0)</f>
        <v>0</v>
      </c>
      <c r="K26" s="24"/>
      <c r="L26" s="21"/>
      <c r="M26" s="23"/>
      <c r="N26" s="8"/>
    </row>
    <row r="27" spans="2:25" ht="15.6" x14ac:dyDescent="0.3">
      <c r="B27" s="7"/>
      <c r="C27" s="19"/>
      <c r="D27" s="20" t="s">
        <v>13</v>
      </c>
      <c r="E27" s="20"/>
      <c r="F27" s="20"/>
      <c r="G27" s="20"/>
      <c r="H27" s="20"/>
      <c r="I27" s="21"/>
      <c r="J27" s="24">
        <f>IFERROR(VLOOKUP(D8,'SBS Additions'!B4:BQ272,32,0),0)</f>
        <v>0</v>
      </c>
      <c r="K27" s="24"/>
      <c r="L27" s="21"/>
      <c r="M27" s="21"/>
      <c r="N27" s="8"/>
    </row>
    <row r="28" spans="2:25" ht="15.6" x14ac:dyDescent="0.3">
      <c r="B28" s="7"/>
      <c r="C28" s="19"/>
      <c r="D28" s="20" t="s">
        <v>14</v>
      </c>
      <c r="E28" s="20"/>
      <c r="F28" s="20"/>
      <c r="G28" s="20"/>
      <c r="H28" s="20"/>
      <c r="I28" s="21"/>
      <c r="J28" s="24">
        <f>IFERROR(VLOOKUP(D8,'SBS Additions'!B4:BQ272,34,0),0)</f>
        <v>0</v>
      </c>
      <c r="K28" s="24"/>
      <c r="L28" s="21"/>
      <c r="M28" s="21"/>
      <c r="N28" s="8"/>
    </row>
    <row r="29" spans="2:25" ht="15.6" x14ac:dyDescent="0.3">
      <c r="B29" s="7"/>
      <c r="C29" s="19"/>
      <c r="D29" s="20" t="s">
        <v>15</v>
      </c>
      <c r="E29" s="20"/>
      <c r="F29" s="20"/>
      <c r="G29" s="20"/>
      <c r="H29" s="20"/>
      <c r="I29" s="21"/>
      <c r="J29" s="24">
        <f>IFERROR(VLOOKUP(D8,'SBS Additions'!B4:BQ272,35,0),0)</f>
        <v>0</v>
      </c>
      <c r="K29" s="24"/>
      <c r="L29" s="21"/>
      <c r="M29" s="21"/>
      <c r="N29" s="8"/>
    </row>
    <row r="30" spans="2:25" ht="15.6" x14ac:dyDescent="0.3">
      <c r="B30" s="7"/>
      <c r="C30" s="19"/>
      <c r="D30" s="20" t="s">
        <v>16</v>
      </c>
      <c r="E30" s="20"/>
      <c r="F30" s="20"/>
      <c r="G30" s="20"/>
      <c r="H30" s="20"/>
      <c r="I30" s="21"/>
      <c r="J30" s="24">
        <f>IFERROR(VLOOKUP(D8,'SBS Additions'!B4:BQ272,39,0),0)</f>
        <v>0</v>
      </c>
      <c r="K30" s="24"/>
      <c r="L30" s="21"/>
      <c r="M30" s="21"/>
      <c r="N30" s="8"/>
    </row>
    <row r="31" spans="2:25" ht="15.6" x14ac:dyDescent="0.3">
      <c r="B31" s="7"/>
      <c r="C31" s="19"/>
      <c r="D31" s="20" t="s">
        <v>17</v>
      </c>
      <c r="E31" s="20"/>
      <c r="F31" s="20"/>
      <c r="G31" s="20"/>
      <c r="H31" s="20"/>
      <c r="I31" s="21"/>
      <c r="J31" s="24">
        <f>IFERROR(VLOOKUP(D8,'SBS Additions'!B4:BQ272,36,0),0)</f>
        <v>0</v>
      </c>
      <c r="K31" s="24"/>
      <c r="L31" s="21"/>
      <c r="M31" s="21"/>
      <c r="N31" s="8"/>
    </row>
    <row r="32" spans="2:25" ht="15.6" x14ac:dyDescent="0.3">
      <c r="B32" s="7"/>
      <c r="C32" s="19"/>
      <c r="D32" s="20"/>
      <c r="E32" s="20"/>
      <c r="F32" s="20"/>
      <c r="G32" s="20"/>
      <c r="H32" s="20"/>
      <c r="I32" s="21"/>
      <c r="J32" s="24"/>
      <c r="K32" s="43">
        <f>SUM(J22:J31)</f>
        <v>0</v>
      </c>
      <c r="L32" s="21"/>
      <c r="M32" s="21"/>
      <c r="N32" s="8"/>
    </row>
    <row r="33" spans="2:14" ht="15.6" x14ac:dyDescent="0.3">
      <c r="B33" s="7"/>
      <c r="C33" s="19"/>
      <c r="D33" s="20"/>
      <c r="E33" s="20"/>
      <c r="F33" s="20"/>
      <c r="G33" s="20"/>
      <c r="H33" s="20"/>
      <c r="I33" s="21"/>
      <c r="J33" s="24"/>
      <c r="K33" s="24"/>
      <c r="L33" s="21"/>
      <c r="M33" s="21"/>
      <c r="N33" s="8"/>
    </row>
    <row r="34" spans="2:14" ht="15.6" x14ac:dyDescent="0.3">
      <c r="B34" s="9"/>
      <c r="C34" s="19"/>
      <c r="D34" s="13" t="s">
        <v>18</v>
      </c>
      <c r="E34" s="19"/>
      <c r="F34" s="19"/>
      <c r="G34" s="19"/>
      <c r="H34" s="19"/>
      <c r="I34" s="25"/>
      <c r="J34" s="26"/>
      <c r="K34" s="26"/>
      <c r="L34" s="27"/>
      <c r="M34" s="27"/>
      <c r="N34" s="28"/>
    </row>
    <row r="35" spans="2:14" ht="15.6" x14ac:dyDescent="0.3">
      <c r="B35" s="7"/>
      <c r="D35" s="20" t="s">
        <v>19</v>
      </c>
      <c r="E35" s="20"/>
      <c r="F35" s="20"/>
      <c r="G35" s="20"/>
      <c r="H35" s="20"/>
      <c r="I35" s="24"/>
      <c r="J35" s="24">
        <f>IFERROR(VLOOKUP(D8,'SBS Additions'!B4:BQ272,8,0),0)</f>
        <v>0</v>
      </c>
      <c r="K35" s="24"/>
      <c r="L35" s="21"/>
      <c r="M35" s="21"/>
      <c r="N35" s="8"/>
    </row>
    <row r="36" spans="2:14" ht="15.6" x14ac:dyDescent="0.3">
      <c r="B36" s="7"/>
      <c r="D36" s="20" t="s">
        <v>20</v>
      </c>
      <c r="E36" s="20"/>
      <c r="F36" s="20"/>
      <c r="G36" s="20"/>
      <c r="H36" s="20"/>
      <c r="I36" s="24"/>
      <c r="J36" s="24">
        <f>IFERROR(VLOOKUP(D8,'SBS Additions'!B4:BQ272,9,0),0)</f>
        <v>0</v>
      </c>
      <c r="K36" s="24"/>
      <c r="L36" s="21"/>
      <c r="M36" s="23"/>
      <c r="N36" s="8"/>
    </row>
    <row r="37" spans="2:14" ht="15.6" x14ac:dyDescent="0.3">
      <c r="B37" s="7"/>
      <c r="D37" s="20" t="s">
        <v>21</v>
      </c>
      <c r="E37" s="20"/>
      <c r="F37" s="20"/>
      <c r="G37" s="20"/>
      <c r="H37" s="20"/>
      <c r="I37" s="24"/>
      <c r="J37" s="24">
        <f>IFERROR(VLOOKUP(D8,'SBS Additions'!B4:BQ272,10,0),0)</f>
        <v>0</v>
      </c>
      <c r="K37" s="24"/>
      <c r="L37" s="21"/>
      <c r="M37" s="22"/>
      <c r="N37" s="8"/>
    </row>
    <row r="38" spans="2:14" ht="15.6" x14ac:dyDescent="0.3">
      <c r="B38" s="7"/>
      <c r="D38" s="20" t="s">
        <v>22</v>
      </c>
      <c r="E38" s="20"/>
      <c r="F38" s="20"/>
      <c r="G38" s="20"/>
      <c r="H38" s="20"/>
      <c r="I38" s="24"/>
      <c r="J38" s="24">
        <f>IFERROR(VLOOKUP($D$8,'SBS Additions'!$B4:$BQ$272,11,0),0)</f>
        <v>0</v>
      </c>
      <c r="K38" s="24"/>
      <c r="L38" s="21"/>
      <c r="M38" s="22"/>
      <c r="N38" s="8"/>
    </row>
    <row r="39" spans="2:14" ht="15.6" x14ac:dyDescent="0.3">
      <c r="B39" s="7"/>
      <c r="D39" s="20" t="s">
        <v>23</v>
      </c>
      <c r="E39" s="20"/>
      <c r="F39" s="20"/>
      <c r="G39" s="20"/>
      <c r="H39" s="20"/>
      <c r="I39" s="24"/>
      <c r="J39" s="24">
        <f>IFERROR(VLOOKUP($D$8,'SBS Additions'!$B4:$BQ$272,12,0),0)</f>
        <v>0</v>
      </c>
      <c r="K39" s="24"/>
      <c r="L39" s="21"/>
      <c r="M39" s="22"/>
      <c r="N39" s="8"/>
    </row>
    <row r="40" spans="2:14" ht="15.6" x14ac:dyDescent="0.3">
      <c r="B40" s="7"/>
      <c r="D40" s="20" t="s">
        <v>600</v>
      </c>
      <c r="E40" s="20"/>
      <c r="F40" s="20"/>
      <c r="G40" s="20"/>
      <c r="H40" s="20"/>
      <c r="I40" s="24"/>
      <c r="J40" s="24">
        <f>IFERROR(VLOOKUP($D$8,'SBS Additions'!$B4:$BQ$272,23,0),0)</f>
        <v>0</v>
      </c>
      <c r="K40" s="24"/>
      <c r="L40" s="21"/>
      <c r="M40" s="22"/>
      <c r="N40" s="8"/>
    </row>
    <row r="41" spans="2:14" ht="15.6" x14ac:dyDescent="0.3">
      <c r="B41" s="7"/>
      <c r="D41" s="20" t="s">
        <v>601</v>
      </c>
      <c r="E41" s="20"/>
      <c r="F41" s="20"/>
      <c r="G41" s="20"/>
      <c r="H41" s="20"/>
      <c r="I41" s="24"/>
      <c r="J41" s="24">
        <f>IFERROR(VLOOKUP($D$8,'SBS Additions'!$B4:$BQ$272,24,0),0)</f>
        <v>0</v>
      </c>
      <c r="K41" s="24"/>
      <c r="L41" s="21"/>
      <c r="M41" s="22"/>
      <c r="N41" s="8"/>
    </row>
    <row r="42" spans="2:14" ht="15.6" x14ac:dyDescent="0.3">
      <c r="B42" s="7"/>
      <c r="D42" s="20" t="s">
        <v>24</v>
      </c>
      <c r="E42" s="20"/>
      <c r="F42" s="20"/>
      <c r="G42" s="20"/>
      <c r="H42" s="20"/>
      <c r="I42" s="24"/>
      <c r="J42" s="24">
        <f>IFERROR(VLOOKUP(D8,'SBS Additions'!B4:BQ272,29,0),0)</f>
        <v>0</v>
      </c>
      <c r="K42" s="24"/>
      <c r="L42" s="21"/>
      <c r="M42" s="22"/>
      <c r="N42" s="8"/>
    </row>
    <row r="43" spans="2:14" ht="15.6" x14ac:dyDescent="0.3">
      <c r="B43" s="7"/>
      <c r="D43" s="20" t="s">
        <v>25</v>
      </c>
      <c r="E43" s="20"/>
      <c r="F43" s="20"/>
      <c r="G43" s="20"/>
      <c r="H43" s="20"/>
      <c r="I43" s="24"/>
      <c r="J43" s="24">
        <f>IFERROR(VLOOKUP(D8,'SBS Additions'!B4:BQ272,30,0),0)</f>
        <v>0</v>
      </c>
      <c r="K43" s="24"/>
      <c r="L43" s="21"/>
      <c r="M43" s="22"/>
      <c r="N43" s="8"/>
    </row>
    <row r="44" spans="2:14" ht="15.6" x14ac:dyDescent="0.3">
      <c r="B44" s="7"/>
      <c r="D44" s="20" t="s">
        <v>26</v>
      </c>
      <c r="E44" s="20"/>
      <c r="F44" s="20"/>
      <c r="G44" s="20"/>
      <c r="H44" s="20"/>
      <c r="I44" s="24"/>
      <c r="J44" s="24">
        <f>IFERROR(VLOOKUP(D8,'SBS Additions'!B4:BQ272,13,0),0)</f>
        <v>0</v>
      </c>
      <c r="K44" s="24"/>
      <c r="L44" s="21"/>
      <c r="M44" s="22"/>
      <c r="N44" s="8"/>
    </row>
    <row r="45" spans="2:14" ht="15.6" x14ac:dyDescent="0.3">
      <c r="B45" s="7"/>
      <c r="D45" s="20" t="s">
        <v>28</v>
      </c>
      <c r="E45" s="20"/>
      <c r="F45" s="20"/>
      <c r="G45" s="20"/>
      <c r="H45" s="20"/>
      <c r="I45" s="24"/>
      <c r="J45" s="24">
        <f>IFERROR(VLOOKUP(D8,'SBS Additions'!B4:BQ272,65,0),0)</f>
        <v>0</v>
      </c>
      <c r="K45" s="24"/>
      <c r="L45" s="21"/>
      <c r="M45" s="22"/>
      <c r="N45" s="8"/>
    </row>
    <row r="46" spans="2:14" ht="15.6" x14ac:dyDescent="0.3">
      <c r="B46" s="7"/>
      <c r="D46" s="20" t="s">
        <v>603</v>
      </c>
      <c r="E46" s="20"/>
      <c r="F46" s="20"/>
      <c r="G46" s="20"/>
      <c r="H46" s="20"/>
      <c r="I46" s="24"/>
      <c r="J46" s="24">
        <f>IFERROR(VLOOKUP(D8,'SBS Additions'!B4:BQ272,27,0),0)</f>
        <v>0</v>
      </c>
      <c r="K46" s="24"/>
      <c r="L46" s="21"/>
      <c r="M46" s="22"/>
      <c r="N46" s="8"/>
    </row>
    <row r="47" spans="2:14" ht="15.6" x14ac:dyDescent="0.3">
      <c r="B47" s="7"/>
      <c r="D47" s="20" t="s">
        <v>858</v>
      </c>
      <c r="E47" s="20"/>
      <c r="F47" s="20"/>
      <c r="G47" s="20"/>
      <c r="H47" s="20"/>
      <c r="I47" s="24"/>
      <c r="J47" s="24">
        <f>IFERROR(VLOOKUP(D8,'SBS Additions'!B4:BQ272,40,0),0)</f>
        <v>0</v>
      </c>
      <c r="K47" s="24"/>
      <c r="L47" s="21"/>
      <c r="M47" s="22"/>
      <c r="N47" s="8"/>
    </row>
    <row r="48" spans="2:14" ht="15.6" x14ac:dyDescent="0.3">
      <c r="B48" s="7"/>
      <c r="D48" s="20" t="s">
        <v>859</v>
      </c>
      <c r="E48" s="20"/>
      <c r="F48" s="20"/>
      <c r="G48" s="20"/>
      <c r="H48" s="20"/>
      <c r="I48" s="24"/>
      <c r="J48" s="24">
        <f>IFERROR(VLOOKUP(D8,'SBS Additions'!B4:BQ272,41,0),0)</f>
        <v>0</v>
      </c>
      <c r="K48" s="24"/>
      <c r="L48" s="21"/>
      <c r="M48" s="22"/>
      <c r="N48" s="8"/>
    </row>
    <row r="49" spans="2:16" ht="15.6" x14ac:dyDescent="0.3">
      <c r="B49" s="7"/>
      <c r="D49" s="20" t="s">
        <v>860</v>
      </c>
      <c r="E49" s="20"/>
      <c r="F49" s="20"/>
      <c r="G49" s="20"/>
      <c r="H49" s="20"/>
      <c r="I49" s="24"/>
      <c r="J49" s="24">
        <f>IFERROR(VLOOKUP(D8,'SBS Additions'!B4:BQ272,42,0),0)</f>
        <v>0</v>
      </c>
      <c r="K49" s="24"/>
      <c r="L49" s="21"/>
      <c r="M49" s="22"/>
      <c r="N49" s="8"/>
    </row>
    <row r="50" spans="2:16" ht="15.6" x14ac:dyDescent="0.3">
      <c r="B50" s="7"/>
      <c r="D50" s="20" t="s">
        <v>861</v>
      </c>
      <c r="E50" s="20"/>
      <c r="F50" s="20"/>
      <c r="G50" s="20"/>
      <c r="H50" s="20"/>
      <c r="I50" s="24"/>
      <c r="J50" s="24">
        <f>IFERROR(VLOOKUP(D8,'SBS Additions'!B4:BQ272,43,0),0)</f>
        <v>0</v>
      </c>
      <c r="K50" s="24"/>
      <c r="L50" s="21"/>
      <c r="M50" s="22"/>
      <c r="N50" s="8"/>
    </row>
    <row r="51" spans="2:16" ht="15.6" x14ac:dyDescent="0.3">
      <c r="B51" s="7"/>
      <c r="D51" s="20" t="s">
        <v>862</v>
      </c>
      <c r="E51" s="20"/>
      <c r="F51" s="20"/>
      <c r="G51" s="20"/>
      <c r="H51" s="20"/>
      <c r="I51" s="24"/>
      <c r="J51" s="24">
        <f>IFERROR(VLOOKUP(D8,'SBS Additions'!B4:BQ272,45,0),0)</f>
        <v>0</v>
      </c>
      <c r="K51" s="24"/>
      <c r="L51" s="21"/>
      <c r="M51" s="22"/>
      <c r="N51" s="8"/>
    </row>
    <row r="52" spans="2:16" ht="15.6" x14ac:dyDescent="0.3">
      <c r="B52" s="7"/>
      <c r="D52" s="20" t="s">
        <v>863</v>
      </c>
      <c r="E52" s="20"/>
      <c r="F52" s="20"/>
      <c r="G52" s="20"/>
      <c r="H52" s="20"/>
      <c r="I52" s="24"/>
      <c r="J52" s="24">
        <f>IFERROR(VLOOKUP($D$8,'SBS Additions'!$B4:$BQ$272,46,0),0)</f>
        <v>0</v>
      </c>
      <c r="K52" s="24"/>
      <c r="L52" s="21"/>
      <c r="M52" s="22"/>
      <c r="N52" s="8"/>
    </row>
    <row r="53" spans="2:16" ht="15.6" x14ac:dyDescent="0.3">
      <c r="B53" s="7"/>
      <c r="D53" s="20" t="s">
        <v>1465</v>
      </c>
      <c r="E53" s="20"/>
      <c r="F53" s="20"/>
      <c r="G53" s="20"/>
      <c r="H53" s="20"/>
      <c r="I53" s="24"/>
      <c r="J53" s="24">
        <f>IFERROR(VLOOKUP($D$8,'SBS Additions'!$B4:$BQ$272,44,0),0)</f>
        <v>0</v>
      </c>
      <c r="K53" s="24"/>
      <c r="L53" s="21"/>
      <c r="M53" s="22"/>
      <c r="N53" s="8"/>
    </row>
    <row r="54" spans="2:16" ht="15.6" x14ac:dyDescent="0.3">
      <c r="B54" s="7"/>
      <c r="D54" s="20" t="s">
        <v>864</v>
      </c>
      <c r="E54" s="20"/>
      <c r="F54" s="20"/>
      <c r="G54" s="20"/>
      <c r="H54" s="20"/>
      <c r="I54" s="24"/>
      <c r="J54" s="24">
        <f>IFERROR(VLOOKUP($D$8,'SBS Additions'!$B4:$BQ$272,47,0),0)</f>
        <v>0</v>
      </c>
      <c r="K54" s="24"/>
      <c r="L54" s="21"/>
      <c r="M54" s="22"/>
      <c r="N54" s="8"/>
    </row>
    <row r="55" spans="2:16" ht="15.6" x14ac:dyDescent="0.3">
      <c r="B55" s="7"/>
      <c r="D55" s="20" t="s">
        <v>1469</v>
      </c>
      <c r="E55" s="20"/>
      <c r="F55" s="20"/>
      <c r="G55" s="20"/>
      <c r="H55" s="20"/>
      <c r="I55" s="24"/>
      <c r="J55" s="24">
        <f>IFERROR(VLOOKUP($D$8,'SBS Additions'!$B4:$BQ$272,50,0),0)</f>
        <v>0</v>
      </c>
      <c r="K55" s="24"/>
      <c r="L55" s="21"/>
      <c r="M55" s="22"/>
      <c r="N55" s="8"/>
    </row>
    <row r="56" spans="2:16" ht="15.6" x14ac:dyDescent="0.3">
      <c r="B56" s="7"/>
      <c r="D56" s="20" t="s">
        <v>1470</v>
      </c>
      <c r="E56" s="20"/>
      <c r="F56" s="20"/>
      <c r="G56" s="20"/>
      <c r="H56" s="20"/>
      <c r="I56" s="24"/>
      <c r="J56" s="24">
        <f>IFERROR(VLOOKUP($D$8,'SBS Additions'!$B3:$BQ$272,51,0),0)</f>
        <v>0</v>
      </c>
      <c r="K56" s="24"/>
      <c r="L56" s="21"/>
      <c r="M56" s="22"/>
      <c r="N56" s="8"/>
    </row>
    <row r="57" spans="2:16" ht="15.6" x14ac:dyDescent="0.3">
      <c r="B57" s="7"/>
      <c r="D57" s="20" t="s">
        <v>1471</v>
      </c>
      <c r="E57" s="20"/>
      <c r="F57" s="20"/>
      <c r="G57" s="20"/>
      <c r="H57" s="20"/>
      <c r="I57" s="24"/>
      <c r="J57" s="24">
        <f>IFERROR(VLOOKUP($D$8,'SBS Additions'!$B4:$BQ$272,52,0),0)</f>
        <v>0</v>
      </c>
      <c r="K57" s="24"/>
      <c r="L57" s="21"/>
      <c r="M57" s="22"/>
      <c r="N57" s="8"/>
    </row>
    <row r="58" spans="2:16" ht="15.6" x14ac:dyDescent="0.3">
      <c r="B58" s="7"/>
      <c r="D58" s="20" t="s">
        <v>1468</v>
      </c>
      <c r="E58" s="20"/>
      <c r="F58" s="20"/>
      <c r="G58" s="20"/>
      <c r="H58" s="20"/>
      <c r="I58" s="24"/>
      <c r="J58" s="24">
        <f>IFERROR(VLOOKUP($D$8,'SBS Additions'!$B4:$BQ$272,49,0),0)</f>
        <v>0</v>
      </c>
      <c r="K58" s="24"/>
      <c r="L58" s="21"/>
      <c r="M58" s="22"/>
      <c r="N58" s="8"/>
    </row>
    <row r="59" spans="2:16" ht="15.6" x14ac:dyDescent="0.3">
      <c r="B59" s="7"/>
      <c r="D59" s="20"/>
      <c r="E59" s="20"/>
      <c r="F59" s="20"/>
      <c r="G59" s="20"/>
      <c r="H59" s="20"/>
      <c r="I59" s="24"/>
      <c r="J59" s="24"/>
      <c r="K59" s="43">
        <f>SUM(J35:J58)</f>
        <v>0</v>
      </c>
      <c r="L59" s="21"/>
      <c r="M59" s="22"/>
      <c r="N59" s="8"/>
    </row>
    <row r="60" spans="2:16" ht="15.6" x14ac:dyDescent="0.3">
      <c r="B60" s="7"/>
      <c r="D60" s="20"/>
      <c r="E60" s="20"/>
      <c r="F60" s="20"/>
      <c r="G60" s="20"/>
      <c r="H60" s="20"/>
      <c r="I60" s="24"/>
      <c r="J60" s="24"/>
      <c r="K60" s="24"/>
      <c r="L60" s="21"/>
      <c r="M60" s="22"/>
      <c r="N60" s="8"/>
    </row>
    <row r="61" spans="2:16" ht="15.6" x14ac:dyDescent="0.3">
      <c r="B61" s="7"/>
      <c r="D61" s="20"/>
      <c r="E61" s="20"/>
      <c r="F61" s="20"/>
      <c r="G61" s="20"/>
      <c r="H61" s="20"/>
      <c r="I61" s="24"/>
      <c r="J61" s="24"/>
      <c r="K61" s="24"/>
      <c r="L61" s="21"/>
      <c r="M61" s="22"/>
      <c r="N61" s="8"/>
    </row>
    <row r="62" spans="2:16" ht="15.6" x14ac:dyDescent="0.3">
      <c r="B62" s="7"/>
      <c r="D62" s="20"/>
      <c r="E62" s="20"/>
      <c r="F62" s="20"/>
      <c r="G62" s="20"/>
      <c r="H62" s="20"/>
      <c r="I62" s="24"/>
      <c r="J62" s="23"/>
      <c r="K62" s="23"/>
      <c r="L62" s="22"/>
      <c r="M62" s="22"/>
      <c r="N62" s="8"/>
    </row>
    <row r="63" spans="2:16" ht="17.399999999999999" x14ac:dyDescent="0.3">
      <c r="B63" s="29"/>
      <c r="D63" s="30" t="s">
        <v>1197</v>
      </c>
      <c r="E63" s="20"/>
      <c r="F63" s="20"/>
      <c r="G63" s="20"/>
      <c r="H63" s="20"/>
      <c r="I63" s="22"/>
      <c r="J63" s="22"/>
      <c r="K63" s="22"/>
      <c r="L63" s="22">
        <f>L16+L18+K32+K59</f>
        <v>0</v>
      </c>
      <c r="M63" s="22"/>
      <c r="N63" s="31"/>
      <c r="P63" s="1" t="s">
        <v>36</v>
      </c>
    </row>
    <row r="64" spans="2:16" ht="15.6" x14ac:dyDescent="0.3">
      <c r="B64" s="7"/>
      <c r="D64" s="14"/>
      <c r="E64" s="20"/>
      <c r="F64" s="20"/>
      <c r="G64" s="20"/>
      <c r="H64" s="20"/>
      <c r="I64" s="22"/>
      <c r="J64" s="22"/>
      <c r="K64" s="22"/>
      <c r="L64" s="22"/>
      <c r="M64" s="21"/>
      <c r="N64" s="8"/>
    </row>
    <row r="65" spans="2:16" ht="15.6" x14ac:dyDescent="0.3">
      <c r="B65" s="7"/>
      <c r="C65" s="13" t="s">
        <v>29</v>
      </c>
      <c r="D65" s="20" t="s">
        <v>30</v>
      </c>
      <c r="E65" s="20"/>
      <c r="F65" s="20"/>
      <c r="G65" s="20"/>
      <c r="H65" s="20"/>
      <c r="I65" s="22"/>
      <c r="J65" s="22"/>
      <c r="K65" s="22"/>
      <c r="L65" s="23">
        <f>IFERROR(VLOOKUP(D8,'Carry Forward 2022'!B10:AL251,27,0),0)</f>
        <v>0</v>
      </c>
      <c r="M65" s="23"/>
      <c r="N65" s="8"/>
    </row>
    <row r="66" spans="2:16" ht="15.6" x14ac:dyDescent="0.3">
      <c r="B66" s="7"/>
      <c r="D66" s="13"/>
      <c r="E66" s="20"/>
      <c r="F66" s="20"/>
      <c r="G66" s="20"/>
      <c r="H66" s="20"/>
      <c r="I66" s="22"/>
      <c r="J66" s="22"/>
      <c r="K66" s="22"/>
      <c r="L66" s="22"/>
      <c r="M66" s="22"/>
      <c r="N66" s="8"/>
    </row>
    <row r="67" spans="2:16" ht="15.6" x14ac:dyDescent="0.3">
      <c r="B67" s="7"/>
      <c r="C67" s="13" t="s">
        <v>31</v>
      </c>
      <c r="D67" s="20" t="s">
        <v>1198</v>
      </c>
      <c r="E67" s="20"/>
      <c r="F67" s="20"/>
      <c r="G67" s="20"/>
      <c r="H67" s="20"/>
      <c r="I67" s="22"/>
      <c r="J67" s="22"/>
      <c r="K67" s="22"/>
      <c r="L67" s="23">
        <f>IFERROR(VLOOKUP(D8,'Carry Forward 2022'!B10:AL251,29,0),0)</f>
        <v>0</v>
      </c>
      <c r="M67" s="23"/>
      <c r="N67" s="8"/>
    </row>
    <row r="68" spans="2:16" ht="15.6" x14ac:dyDescent="0.3">
      <c r="B68" s="7"/>
      <c r="D68" s="20"/>
      <c r="E68" s="20"/>
      <c r="F68" s="20"/>
      <c r="G68" s="20"/>
      <c r="H68" s="20"/>
      <c r="I68" s="22"/>
      <c r="J68" s="22"/>
      <c r="K68" s="22"/>
      <c r="L68" s="22"/>
      <c r="M68" s="22"/>
      <c r="N68" s="8"/>
    </row>
    <row r="69" spans="2:16" ht="17.399999999999999" x14ac:dyDescent="0.3">
      <c r="B69" s="59"/>
      <c r="C69" s="65"/>
      <c r="D69" s="61" t="s">
        <v>1199</v>
      </c>
      <c r="E69" s="66"/>
      <c r="F69" s="66"/>
      <c r="G69" s="66"/>
      <c r="H69" s="66"/>
      <c r="I69" s="67"/>
      <c r="J69" s="67"/>
      <c r="K69" s="67"/>
      <c r="L69" s="68">
        <f>L63-L65+L67</f>
        <v>0</v>
      </c>
      <c r="M69" s="68" t="str">
        <f>IF(L69&gt;=0,"SURPLUS","DEFICIT")</f>
        <v>SURPLUS</v>
      </c>
      <c r="N69" s="69"/>
      <c r="P69" s="1" t="s">
        <v>36</v>
      </c>
    </row>
    <row r="70" spans="2:16" x14ac:dyDescent="0.25">
      <c r="B70" s="32"/>
      <c r="C70" s="33"/>
      <c r="D70" s="33"/>
      <c r="E70" s="33"/>
      <c r="F70" s="33"/>
      <c r="G70" s="33"/>
      <c r="H70" s="33"/>
      <c r="I70" s="34"/>
      <c r="J70" s="34"/>
      <c r="K70" s="34"/>
      <c r="L70" s="34"/>
      <c r="M70" s="34"/>
      <c r="N70" s="35"/>
    </row>
    <row r="73" spans="2:16" x14ac:dyDescent="0.25">
      <c r="B73" s="70"/>
      <c r="C73" s="71"/>
      <c r="D73" s="71"/>
      <c r="E73" s="71"/>
      <c r="F73" s="71"/>
      <c r="G73" s="71"/>
      <c r="H73" s="71"/>
      <c r="I73" s="71"/>
      <c r="J73" s="71"/>
      <c r="K73" s="71"/>
      <c r="L73" s="71"/>
      <c r="M73" s="71"/>
      <c r="N73" s="72"/>
    </row>
    <row r="74" spans="2:16" x14ac:dyDescent="0.25">
      <c r="B74" s="73" t="s">
        <v>32</v>
      </c>
      <c r="C74" s="74"/>
      <c r="D74" s="74"/>
      <c r="E74" s="74"/>
      <c r="F74" s="74"/>
      <c r="G74" s="74"/>
      <c r="H74" s="74"/>
      <c r="I74" s="74"/>
      <c r="J74" s="74"/>
      <c r="K74" s="74"/>
      <c r="L74" s="74"/>
      <c r="M74" s="74"/>
      <c r="N74" s="75"/>
    </row>
    <row r="75" spans="2:16" x14ac:dyDescent="0.25">
      <c r="B75" s="76"/>
      <c r="C75" s="74"/>
      <c r="D75" s="74"/>
      <c r="E75" s="74"/>
      <c r="F75" s="74"/>
      <c r="G75" s="74"/>
      <c r="H75" s="74"/>
      <c r="I75" s="74"/>
      <c r="J75" s="74"/>
      <c r="K75" s="74"/>
      <c r="L75" s="74"/>
      <c r="M75" s="74"/>
      <c r="N75" s="75"/>
    </row>
    <row r="76" spans="2:16" x14ac:dyDescent="0.25">
      <c r="B76" s="77" t="s">
        <v>33</v>
      </c>
      <c r="C76" s="74"/>
      <c r="D76" s="74"/>
      <c r="E76" s="74"/>
      <c r="F76" s="74"/>
      <c r="G76" s="74"/>
      <c r="H76" s="74"/>
      <c r="I76" s="74"/>
      <c r="J76" s="74"/>
      <c r="K76" s="74"/>
      <c r="L76" s="74"/>
      <c r="M76" s="78"/>
      <c r="N76" s="75"/>
    </row>
    <row r="77" spans="2:16" ht="15.6" x14ac:dyDescent="0.3">
      <c r="B77" s="79">
        <f>D10</f>
        <v>0</v>
      </c>
      <c r="C77" s="74"/>
      <c r="D77" s="74"/>
      <c r="E77" s="74"/>
      <c r="F77" s="74"/>
      <c r="G77" s="74"/>
      <c r="H77" s="74"/>
      <c r="I77" s="74"/>
      <c r="J77" s="74"/>
      <c r="K77" s="74"/>
      <c r="L77" s="74"/>
      <c r="M77" s="74"/>
      <c r="N77" s="75"/>
    </row>
    <row r="78" spans="2:16" x14ac:dyDescent="0.25">
      <c r="B78" s="73"/>
      <c r="C78" s="74"/>
      <c r="D78" s="74"/>
      <c r="E78" s="74"/>
      <c r="F78" s="74"/>
      <c r="G78" s="74"/>
      <c r="H78" s="74"/>
      <c r="I78" s="74"/>
      <c r="J78" s="74"/>
      <c r="K78" s="74"/>
      <c r="L78" s="74"/>
      <c r="M78" s="74"/>
      <c r="N78" s="75"/>
    </row>
    <row r="79" spans="2:16" x14ac:dyDescent="0.25">
      <c r="B79" s="76"/>
      <c r="C79" s="74"/>
      <c r="D79" s="74"/>
      <c r="E79" s="74"/>
      <c r="F79" s="74"/>
      <c r="G79" s="74"/>
      <c r="H79" s="74"/>
      <c r="I79" s="74"/>
      <c r="J79" s="74"/>
      <c r="K79" s="74"/>
      <c r="L79" s="74"/>
      <c r="M79" s="74"/>
      <c r="N79" s="75"/>
    </row>
    <row r="80" spans="2:16" x14ac:dyDescent="0.25">
      <c r="B80" s="80" t="s">
        <v>865</v>
      </c>
      <c r="C80" s="74"/>
      <c r="D80" s="74"/>
      <c r="E80" s="74"/>
      <c r="F80" s="74"/>
      <c r="G80" s="74"/>
      <c r="H80" s="74"/>
      <c r="I80" s="74"/>
      <c r="J80" s="74"/>
      <c r="K80" s="74"/>
      <c r="L80" s="74"/>
      <c r="M80" s="74"/>
      <c r="N80" s="75"/>
    </row>
    <row r="81" spans="2:14" x14ac:dyDescent="0.25">
      <c r="B81" s="76"/>
      <c r="C81" s="74"/>
      <c r="D81" s="74"/>
      <c r="E81" s="74"/>
      <c r="F81" s="74"/>
      <c r="G81" s="74"/>
      <c r="H81" s="74"/>
      <c r="I81" s="74"/>
      <c r="J81" s="74"/>
      <c r="K81" s="74"/>
      <c r="L81" s="74"/>
      <c r="M81" s="74"/>
      <c r="N81" s="75"/>
    </row>
    <row r="82" spans="2:14" x14ac:dyDescent="0.25">
      <c r="B82" s="76"/>
      <c r="C82" s="74"/>
      <c r="D82" s="74"/>
      <c r="E82" s="74"/>
      <c r="F82" s="74"/>
      <c r="G82" s="74"/>
      <c r="H82" s="74"/>
      <c r="I82" s="74"/>
      <c r="J82" s="74"/>
      <c r="K82" s="74"/>
      <c r="L82" s="74"/>
      <c r="M82" s="74"/>
      <c r="N82" s="75"/>
    </row>
    <row r="83" spans="2:14" x14ac:dyDescent="0.25">
      <c r="B83" s="81"/>
      <c r="C83" s="82"/>
      <c r="D83" s="82"/>
      <c r="E83" s="82"/>
      <c r="F83" s="82"/>
      <c r="G83" s="82"/>
      <c r="H83" s="82"/>
      <c r="I83" s="82"/>
      <c r="J83" s="82"/>
      <c r="K83" s="82"/>
      <c r="L83" s="82"/>
      <c r="M83" s="82"/>
      <c r="N83" s="83"/>
    </row>
  </sheetData>
  <sheetProtection algorithmName="SHA-512" hashValue="7hEboJ275PsZYWWbk8OK2C3BFcDbbzrYqEvz5lsYmNzyzLGOh3CxeXT9gIr6mukJzzGmKi+xB6kZeKZNT2IIYw==" saltValue="3GepRj3k4b4pjn5SD6azKg==" spinCount="100000" sheet="1" objects="1" scenarios="1"/>
  <conditionalFormatting sqref="P69">
    <cfRule type="containsText" dxfId="23" priority="2" stopIfTrue="1" operator="containsText" text="error">
      <formula>NOT(ISERROR(SEARCH("error",P69)))</formula>
    </cfRule>
  </conditionalFormatting>
  <conditionalFormatting sqref="P63">
    <cfRule type="containsText" dxfId="22" priority="1" stopIfTrue="1" operator="containsText" text="error">
      <formula>NOT(ISERROR(SEARCH("error",P63)))</formula>
    </cfRule>
  </conditionalFormatting>
  <pageMargins left="0.75" right="0.75" top="1" bottom="1" header="0.5" footer="0.5"/>
  <pageSetup paperSize="9" scale="5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04FEEAD-95E2-401B-A41B-D6A2657BE991}">
          <x14:formula1>
            <xm:f>'Carry Forward 2022'!$B$10:$B$244</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10463-BAC0-43F3-A9C6-528B17EA923A}">
  <dimension ref="A3:L46"/>
  <sheetViews>
    <sheetView showGridLines="0" zoomScaleNormal="100" workbookViewId="0">
      <selection activeCell="J14" sqref="J14"/>
    </sheetView>
  </sheetViews>
  <sheetFormatPr defaultRowHeight="13.2" x14ac:dyDescent="0.25"/>
  <cols>
    <col min="1" max="1" width="14" customWidth="1"/>
    <col min="9" max="9" width="17.44140625" customWidth="1"/>
    <col min="10" max="10" width="15.21875" customWidth="1"/>
    <col min="12" max="12" width="29.77734375" customWidth="1"/>
  </cols>
  <sheetData>
    <row r="3" spans="1:12" x14ac:dyDescent="0.25">
      <c r="A3" s="4"/>
      <c r="B3" s="5"/>
      <c r="C3" s="5"/>
      <c r="D3" s="5"/>
      <c r="E3" s="5"/>
      <c r="F3" s="5"/>
      <c r="G3" s="5"/>
      <c r="H3" s="5"/>
      <c r="I3" s="5"/>
      <c r="J3" s="5"/>
      <c r="K3" s="5"/>
      <c r="L3" s="6"/>
    </row>
    <row r="4" spans="1:12" ht="22.8" x14ac:dyDescent="0.4">
      <c r="A4" s="84" t="s">
        <v>1200</v>
      </c>
      <c r="B4" s="85"/>
      <c r="C4" s="85"/>
      <c r="D4" s="85"/>
      <c r="E4" s="85"/>
      <c r="F4" s="85"/>
      <c r="G4" s="85"/>
      <c r="H4" s="85"/>
      <c r="I4" s="85"/>
      <c r="J4" s="85"/>
      <c r="K4" s="85"/>
      <c r="L4" s="86"/>
    </row>
    <row r="5" spans="1:12" x14ac:dyDescent="0.25">
      <c r="A5" s="7"/>
      <c r="B5" s="1"/>
      <c r="C5" s="1"/>
      <c r="D5" s="1"/>
      <c r="E5" s="1"/>
      <c r="F5" s="1"/>
      <c r="G5" s="1"/>
      <c r="H5" s="1"/>
      <c r="I5" s="1"/>
      <c r="J5" s="1"/>
      <c r="K5" s="1"/>
      <c r="L5" s="8"/>
    </row>
    <row r="6" spans="1:12" ht="15.6" x14ac:dyDescent="0.3">
      <c r="A6" s="9" t="s">
        <v>0</v>
      </c>
      <c r="B6" s="10">
        <f>'MENU '!B18</f>
        <v>0</v>
      </c>
      <c r="C6" s="11"/>
      <c r="D6" s="1"/>
      <c r="E6" s="1"/>
      <c r="F6" s="1"/>
      <c r="G6" s="1"/>
      <c r="H6" s="1"/>
      <c r="I6" s="1"/>
      <c r="J6" s="1"/>
      <c r="K6" s="1"/>
      <c r="L6" s="8"/>
    </row>
    <row r="7" spans="1:12" ht="15.6" x14ac:dyDescent="0.3">
      <c r="A7" s="9" t="s">
        <v>1</v>
      </c>
      <c r="B7" s="12">
        <f>'MENU '!G16</f>
        <v>0</v>
      </c>
      <c r="C7" s="46"/>
      <c r="D7" s="1"/>
      <c r="E7" s="1"/>
      <c r="F7" s="1"/>
      <c r="G7" s="1"/>
      <c r="H7" s="1"/>
      <c r="I7" s="1"/>
      <c r="J7" s="1"/>
      <c r="K7" s="1"/>
      <c r="L7" s="8"/>
    </row>
    <row r="8" spans="1:12" ht="15.6" x14ac:dyDescent="0.3">
      <c r="A8" s="9" t="s">
        <v>2</v>
      </c>
      <c r="B8" s="10">
        <f>'MENU '!B20</f>
        <v>0</v>
      </c>
      <c r="C8" s="11"/>
      <c r="D8" s="1"/>
      <c r="E8" s="1"/>
      <c r="F8" s="1"/>
      <c r="G8" s="1"/>
      <c r="H8" s="1"/>
      <c r="I8" s="1"/>
      <c r="J8" s="1"/>
      <c r="K8" s="1"/>
      <c r="L8" s="8"/>
    </row>
    <row r="9" spans="1:12" ht="15.6" x14ac:dyDescent="0.3">
      <c r="A9" s="9"/>
      <c r="B9" s="10"/>
      <c r="C9" s="11"/>
      <c r="D9" s="1"/>
      <c r="E9" s="1"/>
      <c r="F9" s="1"/>
      <c r="G9" s="1"/>
      <c r="H9" s="1"/>
      <c r="I9" s="1"/>
      <c r="J9" s="1"/>
      <c r="K9" s="1"/>
      <c r="L9" s="8"/>
    </row>
    <row r="10" spans="1:12" ht="15.6" x14ac:dyDescent="0.3">
      <c r="A10" s="9"/>
      <c r="B10" s="10"/>
      <c r="C10" s="11"/>
      <c r="D10" s="1"/>
      <c r="E10" s="1"/>
      <c r="F10" s="1"/>
      <c r="G10" s="1"/>
      <c r="H10" s="1"/>
      <c r="I10" s="1"/>
      <c r="J10" s="1"/>
      <c r="K10" s="1"/>
      <c r="L10" s="8"/>
    </row>
    <row r="11" spans="1:12" ht="17.399999999999999" x14ac:dyDescent="0.3">
      <c r="A11" s="59"/>
      <c r="B11" s="87"/>
      <c r="C11" s="88"/>
      <c r="D11" s="61"/>
      <c r="E11" s="61"/>
      <c r="F11" s="61"/>
      <c r="G11" s="61"/>
      <c r="H11" s="61"/>
      <c r="I11" s="63"/>
      <c r="J11" s="63" t="s">
        <v>3</v>
      </c>
      <c r="K11" s="63"/>
      <c r="L11" s="69"/>
    </row>
    <row r="12" spans="1:12" ht="15.6" x14ac:dyDescent="0.3">
      <c r="A12" s="9"/>
      <c r="B12" s="10"/>
      <c r="C12" s="11"/>
      <c r="D12" s="1"/>
      <c r="E12" s="1"/>
      <c r="F12" s="1"/>
      <c r="G12" s="1"/>
      <c r="H12" s="1"/>
      <c r="I12" s="1"/>
      <c r="J12" s="1"/>
      <c r="K12" s="1"/>
      <c r="L12" s="8"/>
    </row>
    <row r="13" spans="1:12" ht="15.6" x14ac:dyDescent="0.3">
      <c r="A13" s="9"/>
      <c r="B13" s="10"/>
      <c r="C13" s="11"/>
      <c r="D13" s="1"/>
      <c r="E13" s="1"/>
      <c r="F13" s="1"/>
      <c r="G13" s="1"/>
      <c r="H13" s="1"/>
      <c r="I13" s="1"/>
      <c r="J13" s="1"/>
      <c r="K13" s="1"/>
      <c r="L13" s="8"/>
    </row>
    <row r="14" spans="1:12" ht="17.399999999999999" x14ac:dyDescent="0.3">
      <c r="A14" s="9"/>
      <c r="B14" s="10"/>
      <c r="C14" s="47" t="s">
        <v>1501</v>
      </c>
      <c r="D14" s="48"/>
      <c r="E14" s="48"/>
      <c r="F14" s="48"/>
      <c r="G14" s="48"/>
      <c r="H14" s="48"/>
      <c r="I14" s="49"/>
      <c r="J14" s="15">
        <f>IFERROR(VLOOKUP(B8,' DFC DETAIL'!A:X,24,0),0)</f>
        <v>0</v>
      </c>
      <c r="K14" s="50"/>
      <c r="L14" s="8"/>
    </row>
    <row r="15" spans="1:12" ht="15" x14ac:dyDescent="0.25">
      <c r="A15" s="9"/>
      <c r="B15" s="10"/>
      <c r="C15" s="51"/>
      <c r="D15" s="1"/>
      <c r="E15" s="1"/>
      <c r="F15" s="1"/>
      <c r="G15" s="1"/>
      <c r="H15" s="1"/>
      <c r="I15" s="52"/>
      <c r="J15" s="15"/>
      <c r="K15" s="50"/>
      <c r="L15" s="8"/>
    </row>
    <row r="16" spans="1:12" ht="15.6" x14ac:dyDescent="0.3">
      <c r="A16" s="9"/>
      <c r="B16" s="10"/>
      <c r="C16" s="47"/>
      <c r="D16" s="1"/>
      <c r="E16" s="1"/>
      <c r="F16" s="1"/>
      <c r="G16" s="1"/>
      <c r="H16" s="1"/>
      <c r="I16" s="52"/>
      <c r="J16" s="15"/>
      <c r="K16" s="50"/>
      <c r="L16" s="8"/>
    </row>
    <row r="17" spans="1:12" ht="15" x14ac:dyDescent="0.25">
      <c r="A17" s="9"/>
      <c r="B17" s="10"/>
      <c r="C17" s="51"/>
      <c r="D17" s="1"/>
      <c r="E17" s="1"/>
      <c r="F17" s="1"/>
      <c r="G17" s="1"/>
      <c r="H17" s="1"/>
      <c r="I17" s="52"/>
      <c r="J17" s="52"/>
      <c r="K17" s="50"/>
      <c r="L17" s="8"/>
    </row>
    <row r="18" spans="1:12" ht="15.6" x14ac:dyDescent="0.3">
      <c r="A18" s="9"/>
      <c r="B18" s="10"/>
      <c r="C18" s="47" t="s">
        <v>1500</v>
      </c>
      <c r="D18" s="1"/>
      <c r="E18" s="1"/>
      <c r="F18" s="1"/>
      <c r="G18" s="1"/>
      <c r="H18" s="1"/>
      <c r="I18" s="52"/>
      <c r="J18" s="15">
        <f>IFERROR(VLOOKUP(B8,' DFC DETAIL'!A:Y,25,0),0)</f>
        <v>0</v>
      </c>
      <c r="K18" s="50"/>
      <c r="L18" s="8"/>
    </row>
    <row r="19" spans="1:12" ht="15" x14ac:dyDescent="0.25">
      <c r="A19" s="9"/>
      <c r="B19" s="10"/>
      <c r="C19" s="53"/>
      <c r="D19" s="1"/>
      <c r="E19" s="1"/>
      <c r="F19" s="1"/>
      <c r="G19" s="1"/>
      <c r="H19" s="1"/>
      <c r="I19" s="52"/>
      <c r="J19" s="52"/>
      <c r="K19" s="50"/>
      <c r="L19" s="8"/>
    </row>
    <row r="20" spans="1:12" ht="15" x14ac:dyDescent="0.25">
      <c r="A20" s="9"/>
      <c r="B20" s="54"/>
      <c r="C20" s="51"/>
      <c r="D20" s="1"/>
      <c r="E20" s="1"/>
      <c r="F20" s="1"/>
      <c r="G20" s="1"/>
      <c r="H20" s="1"/>
      <c r="I20" s="52"/>
      <c r="J20" s="52"/>
      <c r="K20" s="50"/>
      <c r="L20" s="8"/>
    </row>
    <row r="21" spans="1:12" ht="15" x14ac:dyDescent="0.25">
      <c r="A21" s="9"/>
      <c r="B21" s="54"/>
      <c r="C21" s="51"/>
      <c r="D21" s="1"/>
      <c r="E21" s="1"/>
      <c r="F21" s="1"/>
      <c r="G21" s="1"/>
      <c r="H21" s="1"/>
      <c r="I21" s="52"/>
      <c r="J21" s="52"/>
      <c r="K21" s="50"/>
      <c r="L21" s="8"/>
    </row>
    <row r="22" spans="1:12" ht="15" x14ac:dyDescent="0.25">
      <c r="A22" s="9"/>
      <c r="B22" s="10"/>
      <c r="C22" s="51"/>
      <c r="D22" s="1"/>
      <c r="E22" s="1"/>
      <c r="F22" s="1"/>
      <c r="G22" s="1"/>
      <c r="H22" s="1"/>
      <c r="I22" s="52"/>
      <c r="J22" s="52"/>
      <c r="K22" s="50"/>
      <c r="L22" s="8"/>
    </row>
    <row r="23" spans="1:12" ht="15.6" x14ac:dyDescent="0.25">
      <c r="A23" s="89"/>
      <c r="B23" s="90"/>
      <c r="C23" s="91" t="s">
        <v>1502</v>
      </c>
      <c r="D23" s="92"/>
      <c r="E23" s="92"/>
      <c r="F23" s="92"/>
      <c r="G23" s="92"/>
      <c r="H23" s="92"/>
      <c r="I23" s="93"/>
      <c r="J23" s="94">
        <f>J14+J18</f>
        <v>0</v>
      </c>
      <c r="K23" s="95"/>
      <c r="L23" s="96"/>
    </row>
    <row r="24" spans="1:12" x14ac:dyDescent="0.25">
      <c r="A24" s="32"/>
      <c r="B24" s="33"/>
      <c r="C24" s="33"/>
      <c r="D24" s="33"/>
      <c r="E24" s="33"/>
      <c r="F24" s="33"/>
      <c r="G24" s="33"/>
      <c r="H24" s="34"/>
      <c r="I24" s="34"/>
      <c r="J24" s="34"/>
      <c r="K24" s="34"/>
      <c r="L24" s="35"/>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70"/>
      <c r="B27" s="71"/>
      <c r="C27" s="71"/>
      <c r="D27" s="71"/>
      <c r="E27" s="71"/>
      <c r="F27" s="71"/>
      <c r="G27" s="71"/>
      <c r="H27" s="71"/>
      <c r="I27" s="71"/>
      <c r="J27" s="71"/>
      <c r="K27" s="71"/>
      <c r="L27" s="72"/>
    </row>
    <row r="28" spans="1:12" x14ac:dyDescent="0.25">
      <c r="A28" s="73" t="s">
        <v>32</v>
      </c>
      <c r="B28" s="74"/>
      <c r="C28" s="74"/>
      <c r="D28" s="74"/>
      <c r="E28" s="74"/>
      <c r="F28" s="74"/>
      <c r="G28" s="74"/>
      <c r="H28" s="74"/>
      <c r="I28" s="74"/>
      <c r="J28" s="74"/>
      <c r="K28" s="74"/>
      <c r="L28" s="75"/>
    </row>
    <row r="29" spans="1:12" x14ac:dyDescent="0.25">
      <c r="A29" s="76"/>
      <c r="B29" s="74"/>
      <c r="C29" s="74"/>
      <c r="D29" s="74"/>
      <c r="E29" s="74"/>
      <c r="F29" s="74"/>
      <c r="G29" s="74"/>
      <c r="H29" s="74"/>
      <c r="I29" s="74"/>
      <c r="J29" s="74"/>
      <c r="K29" s="74"/>
      <c r="L29" s="75"/>
    </row>
    <row r="30" spans="1:12" x14ac:dyDescent="0.25">
      <c r="A30" s="77" t="s">
        <v>870</v>
      </c>
      <c r="B30" s="74"/>
      <c r="C30" s="74"/>
      <c r="D30" s="74"/>
      <c r="E30" s="74"/>
      <c r="F30" s="74"/>
      <c r="G30" s="74"/>
      <c r="H30" s="74"/>
      <c r="I30" s="74"/>
      <c r="J30" s="74"/>
      <c r="K30" s="78"/>
      <c r="L30" s="75"/>
    </row>
    <row r="31" spans="1:12" x14ac:dyDescent="0.25">
      <c r="A31" s="97">
        <f>B8</f>
        <v>0</v>
      </c>
      <c r="B31" s="74" t="s">
        <v>871</v>
      </c>
      <c r="C31" s="74"/>
      <c r="D31" s="74"/>
      <c r="E31" s="74"/>
      <c r="F31" s="74"/>
      <c r="G31" s="74"/>
      <c r="H31" s="74"/>
      <c r="I31" s="74"/>
      <c r="J31" s="74"/>
      <c r="K31" s="74"/>
      <c r="L31" s="75"/>
    </row>
    <row r="32" spans="1:12" x14ac:dyDescent="0.25">
      <c r="A32" s="73" t="s">
        <v>872</v>
      </c>
      <c r="B32" s="74"/>
      <c r="C32" s="74"/>
      <c r="D32" s="74"/>
      <c r="E32" s="74"/>
      <c r="F32" s="74"/>
      <c r="G32" s="74"/>
      <c r="H32" s="74"/>
      <c r="I32" s="74"/>
      <c r="J32" s="74"/>
      <c r="K32" s="74"/>
      <c r="L32" s="75"/>
    </row>
    <row r="33" spans="1:12" x14ac:dyDescent="0.25">
      <c r="A33" s="73"/>
      <c r="B33" s="74"/>
      <c r="C33" s="74"/>
      <c r="D33" s="74"/>
      <c r="E33" s="74"/>
      <c r="F33" s="74"/>
      <c r="G33" s="74"/>
      <c r="H33" s="74"/>
      <c r="I33" s="74"/>
      <c r="J33" s="74"/>
      <c r="K33" s="74"/>
      <c r="L33" s="75"/>
    </row>
    <row r="34" spans="1:12" x14ac:dyDescent="0.25">
      <c r="A34" s="73"/>
      <c r="B34" s="74"/>
      <c r="C34" s="74"/>
      <c r="D34" s="74"/>
      <c r="E34" s="74"/>
      <c r="F34" s="74"/>
      <c r="G34" s="74"/>
      <c r="H34" s="74"/>
      <c r="I34" s="74"/>
      <c r="J34" s="74"/>
      <c r="K34" s="74"/>
      <c r="L34" s="75"/>
    </row>
    <row r="35" spans="1:12" x14ac:dyDescent="0.25">
      <c r="A35" s="80" t="s">
        <v>1201</v>
      </c>
      <c r="B35" s="74"/>
      <c r="C35" s="74"/>
      <c r="D35" s="74"/>
      <c r="E35" s="74"/>
      <c r="F35" s="74"/>
      <c r="G35" s="74"/>
      <c r="H35" s="74"/>
      <c r="I35" s="74"/>
      <c r="J35" s="74"/>
      <c r="K35" s="74"/>
      <c r="L35" s="75"/>
    </row>
    <row r="36" spans="1:12" x14ac:dyDescent="0.25">
      <c r="A36" s="80" t="s">
        <v>1105</v>
      </c>
      <c r="B36" s="74"/>
      <c r="C36" s="74"/>
      <c r="D36" s="74"/>
      <c r="E36" s="74"/>
      <c r="F36" s="74"/>
      <c r="G36" s="74"/>
      <c r="H36" s="74"/>
      <c r="I36" s="74"/>
      <c r="J36" s="74"/>
      <c r="K36" s="74"/>
      <c r="L36" s="75"/>
    </row>
    <row r="37" spans="1:12" x14ac:dyDescent="0.25">
      <c r="A37" s="76"/>
      <c r="B37" s="74"/>
      <c r="C37" s="74"/>
      <c r="D37" s="74"/>
      <c r="E37" s="74"/>
      <c r="F37" s="74"/>
      <c r="G37" s="74"/>
      <c r="H37" s="74"/>
      <c r="I37" s="74"/>
      <c r="J37" s="74"/>
      <c r="K37" s="74"/>
      <c r="L37" s="75"/>
    </row>
    <row r="38" spans="1:12" x14ac:dyDescent="0.25">
      <c r="A38" s="80" t="s">
        <v>1104</v>
      </c>
      <c r="B38" s="74"/>
      <c r="C38" s="74"/>
      <c r="D38" s="74"/>
      <c r="E38" s="74"/>
      <c r="F38" s="74"/>
      <c r="G38" s="74"/>
      <c r="H38" s="74"/>
      <c r="I38" s="74"/>
      <c r="J38" s="74"/>
      <c r="K38" s="74"/>
      <c r="L38" s="75"/>
    </row>
    <row r="39" spans="1:12" x14ac:dyDescent="0.25">
      <c r="A39" s="76"/>
      <c r="B39" s="74"/>
      <c r="C39" s="74"/>
      <c r="D39" s="74"/>
      <c r="E39" s="74"/>
      <c r="F39" s="74"/>
      <c r="G39" s="74"/>
      <c r="H39" s="74"/>
      <c r="I39" s="74"/>
      <c r="J39" s="74"/>
      <c r="K39" s="74"/>
      <c r="L39" s="75"/>
    </row>
    <row r="40" spans="1:12" x14ac:dyDescent="0.25">
      <c r="A40" s="80" t="s">
        <v>1202</v>
      </c>
      <c r="B40" s="74"/>
      <c r="C40" s="74"/>
      <c r="D40" s="74"/>
      <c r="E40" s="74"/>
      <c r="F40" s="74"/>
      <c r="G40" s="74"/>
      <c r="H40" s="74"/>
      <c r="I40" s="74"/>
      <c r="J40" s="74"/>
      <c r="K40" s="74"/>
      <c r="L40" s="75"/>
    </row>
    <row r="41" spans="1:12" x14ac:dyDescent="0.25">
      <c r="A41" s="76"/>
      <c r="B41" s="74"/>
      <c r="C41" s="74"/>
      <c r="D41" s="74"/>
      <c r="E41" s="74"/>
      <c r="F41" s="74"/>
      <c r="G41" s="74"/>
      <c r="H41" s="74"/>
      <c r="I41" s="74"/>
      <c r="J41" s="74"/>
      <c r="K41" s="74"/>
      <c r="L41" s="75"/>
    </row>
    <row r="42" spans="1:12" x14ac:dyDescent="0.25">
      <c r="A42" s="80"/>
      <c r="B42" s="74"/>
      <c r="C42" s="74"/>
      <c r="D42" s="74"/>
      <c r="E42" s="74"/>
      <c r="F42" s="74"/>
      <c r="G42" s="74"/>
      <c r="H42" s="74"/>
      <c r="I42" s="74"/>
      <c r="J42" s="74"/>
      <c r="K42" s="74"/>
      <c r="L42" s="75"/>
    </row>
    <row r="43" spans="1:12" x14ac:dyDescent="0.25">
      <c r="A43" s="76"/>
      <c r="B43" s="74"/>
      <c r="C43" s="74"/>
      <c r="D43" s="74"/>
      <c r="E43" s="74"/>
      <c r="F43" s="74"/>
      <c r="G43" s="74"/>
      <c r="H43" s="74"/>
      <c r="I43" s="74"/>
      <c r="J43" s="74"/>
      <c r="K43" s="74"/>
      <c r="L43" s="75"/>
    </row>
    <row r="44" spans="1:12" x14ac:dyDescent="0.25">
      <c r="A44" s="76"/>
      <c r="B44" s="74"/>
      <c r="C44" s="74"/>
      <c r="D44" s="74"/>
      <c r="E44" s="74"/>
      <c r="F44" s="74"/>
      <c r="G44" s="74"/>
      <c r="H44" s="74"/>
      <c r="I44" s="74"/>
      <c r="J44" s="74"/>
      <c r="K44" s="74"/>
      <c r="L44" s="75"/>
    </row>
    <row r="45" spans="1:12" x14ac:dyDescent="0.25">
      <c r="A45" s="98"/>
      <c r="B45" s="99"/>
      <c r="C45" s="99"/>
      <c r="D45" s="99"/>
      <c r="E45" s="99"/>
      <c r="F45" s="74"/>
      <c r="G45" s="74"/>
      <c r="H45" s="74"/>
      <c r="I45" s="74"/>
      <c r="J45" s="74"/>
      <c r="K45" s="74"/>
      <c r="L45" s="75"/>
    </row>
    <row r="46" spans="1:12" x14ac:dyDescent="0.25">
      <c r="A46" s="81"/>
      <c r="B46" s="82"/>
      <c r="C46" s="82"/>
      <c r="D46" s="82"/>
      <c r="E46" s="82"/>
      <c r="F46" s="82"/>
      <c r="G46" s="82"/>
      <c r="H46" s="82"/>
      <c r="I46" s="82"/>
      <c r="J46" s="82"/>
      <c r="K46" s="82"/>
      <c r="L46" s="83"/>
    </row>
  </sheetData>
  <sheetProtection algorithmName="SHA-512" hashValue="BlpK1qg4XDIQuzW3OLYNV6rXY7RSE94iscaBPM1SHs578DXUgmmRL7/OT52YCYWSVAM6Bz9gfB9krBnzHRz56Q==" saltValue="7NIje6NBmEo2oEUu6DYShQ==" spinCount="100000" sheet="1" objects="1" scenarios="1"/>
  <conditionalFormatting sqref="I17">
    <cfRule type="cellIs" dxfId="21" priority="1" stopIfTrue="1" operator="equal">
      <formula>0</formula>
    </cfRule>
  </conditionalFormatting>
  <conditionalFormatting sqref="C17:G17">
    <cfRule type="expression" dxfId="20" priority="2" stopIfTrue="1">
      <formula>$J$17=0</formula>
    </cfRule>
  </conditionalFormatting>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8168C-5901-41CE-A62B-563A8A16428C}">
  <sheetPr filterMode="1"/>
  <dimension ref="A1:CD231"/>
  <sheetViews>
    <sheetView topLeftCell="B1" workbookViewId="0">
      <pane xSplit="4" ySplit="1" topLeftCell="BO2" activePane="bottomRight" state="frozen"/>
      <selection activeCell="B1" sqref="B1"/>
      <selection pane="topRight" activeCell="F1" sqref="F1"/>
      <selection pane="bottomLeft" activeCell="B2" sqref="B2"/>
      <selection pane="bottomRight" activeCell="BV102" sqref="BV102"/>
    </sheetView>
  </sheetViews>
  <sheetFormatPr defaultColWidth="8.77734375" defaultRowHeight="14.4" x14ac:dyDescent="0.3"/>
  <cols>
    <col min="1" max="1" width="0" style="574" hidden="1" customWidth="1"/>
    <col min="2" max="2" width="12.77734375" style="577" customWidth="1"/>
    <col min="3" max="4" width="8.77734375" style="574"/>
    <col min="5" max="5" width="36.5546875" style="574" bestFit="1" customWidth="1"/>
    <col min="6" max="6" width="11.88671875" style="574" bestFit="1" customWidth="1"/>
    <col min="7" max="8" width="8.77734375" style="574" bestFit="1" customWidth="1"/>
    <col min="9" max="11" width="11.21875" style="574" bestFit="1" customWidth="1"/>
    <col min="12" max="12" width="8.77734375" style="574" bestFit="1" customWidth="1"/>
    <col min="13" max="14" width="9.77734375" style="574" bestFit="1" customWidth="1"/>
    <col min="15" max="15" width="11.21875" style="574" bestFit="1" customWidth="1"/>
    <col min="16" max="18" width="9.77734375" style="574" bestFit="1" customWidth="1"/>
    <col min="19" max="20" width="8.77734375" style="574" bestFit="1" customWidth="1"/>
    <col min="21" max="21" width="9.77734375" style="574" bestFit="1" customWidth="1"/>
    <col min="22" max="22" width="8.77734375" style="574" bestFit="1" customWidth="1"/>
    <col min="23" max="23" width="8.77734375" style="574"/>
    <col min="24" max="27" width="8.77734375" style="574" bestFit="1" customWidth="1"/>
    <col min="28" max="28" width="9.77734375" style="574" bestFit="1" customWidth="1"/>
    <col min="29" max="29" width="8.77734375" style="574" bestFit="1" customWidth="1"/>
    <col min="30" max="30" width="9.77734375" style="574" bestFit="1" customWidth="1"/>
    <col min="31" max="31" width="11.21875" style="574" bestFit="1" customWidth="1"/>
    <col min="32" max="32" width="9.77734375" style="574" bestFit="1" customWidth="1"/>
    <col min="33" max="33" width="11.21875" style="574" bestFit="1" customWidth="1"/>
    <col min="34" max="34" width="9.77734375" style="574" bestFit="1" customWidth="1"/>
    <col min="35" max="35" width="11.21875" style="574" bestFit="1" customWidth="1"/>
    <col min="36" max="38" width="9.77734375" style="574" bestFit="1" customWidth="1"/>
    <col min="39" max="41" width="8.77734375" style="574" bestFit="1" customWidth="1"/>
    <col min="42" max="42" width="9.77734375" style="574" bestFit="1" customWidth="1"/>
    <col min="43" max="43" width="8.77734375" style="574" bestFit="1" customWidth="1"/>
    <col min="44" max="52" width="9.77734375" style="574" bestFit="1" customWidth="1"/>
    <col min="53" max="53" width="8.77734375" style="574" bestFit="1" customWidth="1"/>
    <col min="54" max="58" width="9.77734375" style="574" bestFit="1" customWidth="1"/>
    <col min="59" max="60" width="8.77734375" style="574" bestFit="1" customWidth="1"/>
    <col min="61" max="61" width="9.77734375" style="574" bestFit="1" customWidth="1"/>
    <col min="62" max="72" width="8.77734375" style="574" bestFit="1" customWidth="1"/>
    <col min="73" max="73" width="11.21875" style="574" bestFit="1" customWidth="1"/>
    <col min="74" max="74" width="9.77734375" style="574" bestFit="1" customWidth="1"/>
    <col min="75" max="75" width="8.77734375" style="574" bestFit="1" customWidth="1"/>
    <col min="76" max="76" width="20.109375" style="574" bestFit="1" customWidth="1"/>
    <col min="77" max="77" width="20.6640625" style="574" bestFit="1" customWidth="1"/>
    <col min="78" max="78" width="12.21875" style="574" bestFit="1" customWidth="1"/>
    <col min="79" max="79" width="15.109375" style="574" bestFit="1" customWidth="1"/>
    <col min="80" max="80" width="11.21875" style="574" customWidth="1"/>
    <col min="81" max="81" width="13.109375" style="574" customWidth="1"/>
    <col min="82" max="82" width="12.109375" style="574" bestFit="1" customWidth="1"/>
    <col min="83" max="16384" width="8.77734375" style="574"/>
  </cols>
  <sheetData>
    <row r="1" spans="1:82" ht="86.4" x14ac:dyDescent="0.3">
      <c r="A1" s="574" t="s">
        <v>1505</v>
      </c>
      <c r="B1" s="575" t="s">
        <v>1506</v>
      </c>
      <c r="C1" s="576" t="s">
        <v>1507</v>
      </c>
      <c r="D1" s="576" t="s">
        <v>1508</v>
      </c>
      <c r="E1" s="576" t="s">
        <v>1509</v>
      </c>
      <c r="F1" s="576" t="s">
        <v>1510</v>
      </c>
      <c r="G1" s="576" t="s">
        <v>1511</v>
      </c>
      <c r="H1" s="576" t="s">
        <v>1512</v>
      </c>
      <c r="I1" s="576" t="s">
        <v>1513</v>
      </c>
      <c r="J1" s="576" t="s">
        <v>1514</v>
      </c>
      <c r="K1" s="576" t="s">
        <v>1515</v>
      </c>
      <c r="L1" s="576" t="s">
        <v>1516</v>
      </c>
      <c r="M1" s="576" t="s">
        <v>1517</v>
      </c>
      <c r="N1" s="576" t="s">
        <v>1518</v>
      </c>
      <c r="O1" s="576" t="s">
        <v>1519</v>
      </c>
      <c r="P1" s="576" t="s">
        <v>1520</v>
      </c>
      <c r="Q1" s="576" t="s">
        <v>1521</v>
      </c>
      <c r="R1" s="576" t="s">
        <v>1522</v>
      </c>
      <c r="S1" s="576" t="s">
        <v>1523</v>
      </c>
      <c r="T1" s="576" t="s">
        <v>1524</v>
      </c>
      <c r="U1" s="576" t="s">
        <v>1525</v>
      </c>
      <c r="V1" s="576" t="s">
        <v>1526</v>
      </c>
      <c r="W1" s="576" t="s">
        <v>1527</v>
      </c>
      <c r="X1" s="576" t="s">
        <v>1528</v>
      </c>
      <c r="Y1" s="576" t="s">
        <v>1529</v>
      </c>
      <c r="Z1" s="576" t="s">
        <v>1530</v>
      </c>
      <c r="AA1" s="576" t="s">
        <v>1531</v>
      </c>
      <c r="AB1" s="576" t="s">
        <v>1532</v>
      </c>
      <c r="AC1" s="576" t="s">
        <v>1533</v>
      </c>
      <c r="AD1" s="576" t="s">
        <v>1534</v>
      </c>
      <c r="AE1" s="576" t="s">
        <v>1535</v>
      </c>
      <c r="AF1" s="576" t="s">
        <v>1536</v>
      </c>
      <c r="AG1" s="576" t="s">
        <v>1537</v>
      </c>
      <c r="AH1" s="576" t="s">
        <v>1538</v>
      </c>
      <c r="AI1" s="576" t="s">
        <v>1539</v>
      </c>
      <c r="AJ1" s="576" t="s">
        <v>1540</v>
      </c>
      <c r="AK1" s="576" t="s">
        <v>1541</v>
      </c>
      <c r="AL1" s="576" t="s">
        <v>1542</v>
      </c>
      <c r="AM1" s="576" t="s">
        <v>1543</v>
      </c>
      <c r="AN1" s="576" t="s">
        <v>1544</v>
      </c>
      <c r="AO1" s="576" t="s">
        <v>1545</v>
      </c>
      <c r="AP1" s="576" t="s">
        <v>1546</v>
      </c>
      <c r="AQ1" s="576" t="s">
        <v>1547</v>
      </c>
      <c r="AR1" s="576" t="s">
        <v>1548</v>
      </c>
      <c r="AS1" s="576" t="s">
        <v>1549</v>
      </c>
      <c r="AT1" s="576" t="s">
        <v>1550</v>
      </c>
      <c r="AU1" s="576" t="s">
        <v>1551</v>
      </c>
      <c r="AV1" s="576" t="s">
        <v>1552</v>
      </c>
      <c r="AW1" s="576" t="s">
        <v>1553</v>
      </c>
      <c r="AX1" s="576" t="s">
        <v>1554</v>
      </c>
      <c r="AY1" s="576" t="s">
        <v>1555</v>
      </c>
      <c r="AZ1" s="576" t="s">
        <v>1556</v>
      </c>
      <c r="BA1" s="576" t="s">
        <v>1557</v>
      </c>
      <c r="BB1" s="576" t="s">
        <v>1558</v>
      </c>
      <c r="BC1" s="576" t="s">
        <v>1559</v>
      </c>
      <c r="BD1" s="576" t="s">
        <v>1560</v>
      </c>
      <c r="BE1" s="576" t="s">
        <v>1561</v>
      </c>
      <c r="BF1" s="576" t="s">
        <v>1562</v>
      </c>
      <c r="BG1" s="576" t="s">
        <v>1563</v>
      </c>
      <c r="BH1" s="576" t="s">
        <v>1564</v>
      </c>
      <c r="BI1" s="576" t="s">
        <v>1565</v>
      </c>
      <c r="BJ1" s="576" t="s">
        <v>1566</v>
      </c>
      <c r="BK1" s="576" t="s">
        <v>1567</v>
      </c>
      <c r="BL1" s="576" t="s">
        <v>1568</v>
      </c>
      <c r="BM1" s="576" t="s">
        <v>1569</v>
      </c>
      <c r="BN1" s="576" t="s">
        <v>1570</v>
      </c>
      <c r="BO1" s="576" t="s">
        <v>1571</v>
      </c>
      <c r="BP1" s="576" t="s">
        <v>1572</v>
      </c>
      <c r="BQ1" s="576" t="s">
        <v>1573</v>
      </c>
      <c r="BR1" s="576" t="s">
        <v>1574</v>
      </c>
      <c r="BS1" s="576" t="s">
        <v>1575</v>
      </c>
      <c r="BT1" s="576" t="s">
        <v>1576</v>
      </c>
      <c r="BU1" s="576" t="s">
        <v>1577</v>
      </c>
      <c r="BV1" s="576" t="s">
        <v>1578</v>
      </c>
      <c r="BW1" s="576" t="s">
        <v>1579</v>
      </c>
      <c r="BX1" s="576" t="s">
        <v>1580</v>
      </c>
      <c r="BY1" s="576" t="s">
        <v>1581</v>
      </c>
      <c r="BZ1" s="576" t="s">
        <v>1582</v>
      </c>
      <c r="CA1" s="576" t="s">
        <v>1583</v>
      </c>
      <c r="CB1" s="576" t="s">
        <v>1584</v>
      </c>
      <c r="CC1" s="576" t="s">
        <v>1585</v>
      </c>
      <c r="CD1" s="576" t="s">
        <v>1586</v>
      </c>
    </row>
    <row r="2" spans="1:82" hidden="1" x14ac:dyDescent="0.3">
      <c r="A2" s="574" t="s">
        <v>1587</v>
      </c>
      <c r="B2" s="577">
        <v>3302231</v>
      </c>
      <c r="C2" s="574">
        <f>_xlfn.XLOOKUP($B2,'[1]Blade-Export_15-08-2022_sources'!$B:$B,'[1]Blade-Export_15-08-2022_sources'!F:F,0,FALSE)</f>
        <v>330</v>
      </c>
      <c r="D2" s="574">
        <f>_xlfn.XLOOKUP($B2,'[1]Blade-Export_15-08-2022_sources'!$B:$B,'[1]Blade-Export_15-08-2022_sources'!G:G,0,FALSE)</f>
        <v>2231</v>
      </c>
      <c r="E2" s="574" t="str">
        <f>_xlfn.XLOOKUP($B2,'[1]Blade-Export_15-08-2022_sources'!$B:$B,'[1]Blade-Export_15-08-2022_sources'!H:H,0,FALSE)</f>
        <v>YORKMEAD JI NC</v>
      </c>
      <c r="F2" s="578">
        <v>305082.01</v>
      </c>
      <c r="G2" s="578">
        <v>0</v>
      </c>
      <c r="H2" s="578">
        <v>9331.2999999999993</v>
      </c>
      <c r="I2" s="578">
        <v>2029558.27</v>
      </c>
      <c r="J2" s="578">
        <v>0</v>
      </c>
      <c r="K2" s="578">
        <v>17944.490000000002</v>
      </c>
      <c r="L2" s="578">
        <v>0</v>
      </c>
      <c r="M2" s="578">
        <v>170815</v>
      </c>
      <c r="N2" s="578">
        <v>4016.25</v>
      </c>
      <c r="O2" s="578">
        <v>0</v>
      </c>
      <c r="P2" s="578">
        <v>28290.36</v>
      </c>
      <c r="Q2" s="578">
        <v>421.99</v>
      </c>
      <c r="R2" s="578">
        <v>0</v>
      </c>
      <c r="S2" s="578">
        <v>0</v>
      </c>
      <c r="T2" s="578">
        <v>0</v>
      </c>
      <c r="U2" s="578">
        <v>7423.19</v>
      </c>
      <c r="V2" s="578">
        <v>0</v>
      </c>
      <c r="W2" s="578"/>
      <c r="X2" s="578">
        <v>0</v>
      </c>
      <c r="Y2" s="578">
        <v>0</v>
      </c>
      <c r="Z2" s="578">
        <v>0</v>
      </c>
      <c r="AA2" s="578">
        <v>0</v>
      </c>
      <c r="AB2" s="578">
        <v>13341.88</v>
      </c>
      <c r="AC2" s="578">
        <v>13600</v>
      </c>
      <c r="AD2" s="578">
        <v>71527</v>
      </c>
      <c r="AE2" s="578">
        <v>999839.83</v>
      </c>
      <c r="AF2" s="578">
        <v>6987</v>
      </c>
      <c r="AG2" s="578">
        <v>469012.5</v>
      </c>
      <c r="AH2" s="578">
        <v>65452.59</v>
      </c>
      <c r="AI2" s="578">
        <v>152898.10999999999</v>
      </c>
      <c r="AJ2" s="578">
        <v>0</v>
      </c>
      <c r="AK2" s="578">
        <v>88290.99</v>
      </c>
      <c r="AL2" s="578">
        <v>3382.76</v>
      </c>
      <c r="AM2" s="578">
        <v>3374</v>
      </c>
      <c r="AN2" s="578">
        <v>0</v>
      </c>
      <c r="AO2" s="578">
        <v>0</v>
      </c>
      <c r="AP2" s="578">
        <v>37541.160000000003</v>
      </c>
      <c r="AQ2" s="578">
        <v>178.52</v>
      </c>
      <c r="AR2" s="578">
        <v>76.849999999999994</v>
      </c>
      <c r="AS2" s="578">
        <v>9184.89</v>
      </c>
      <c r="AT2" s="578">
        <v>24187.15</v>
      </c>
      <c r="AU2" s="578">
        <v>24949.38</v>
      </c>
      <c r="AV2" s="578">
        <v>7359.53</v>
      </c>
      <c r="AW2" s="578">
        <v>97664.67</v>
      </c>
      <c r="AX2" s="578">
        <v>22653.43</v>
      </c>
      <c r="AY2" s="578">
        <v>0</v>
      </c>
      <c r="AZ2" s="578">
        <v>13125.29</v>
      </c>
      <c r="BA2" s="578">
        <v>8200</v>
      </c>
      <c r="BB2" s="578">
        <v>0</v>
      </c>
      <c r="BC2" s="578">
        <v>21379.08</v>
      </c>
      <c r="BD2" s="578">
        <v>61058.78</v>
      </c>
      <c r="BE2" s="578">
        <v>225</v>
      </c>
      <c r="BF2" s="578">
        <v>209794.01</v>
      </c>
      <c r="BG2" s="578">
        <v>0</v>
      </c>
      <c r="BH2" s="578">
        <v>0</v>
      </c>
      <c r="BI2" s="578">
        <v>33358.449999999997</v>
      </c>
      <c r="BJ2" s="578">
        <v>0</v>
      </c>
      <c r="BK2" s="578">
        <v>0</v>
      </c>
      <c r="BL2" s="578">
        <v>8853.25</v>
      </c>
      <c r="BM2" s="578">
        <v>0</v>
      </c>
      <c r="BN2" s="578">
        <v>0</v>
      </c>
      <c r="BO2" s="578">
        <v>10000</v>
      </c>
      <c r="BP2" s="578">
        <v>0</v>
      </c>
      <c r="BQ2" s="578">
        <v>17379</v>
      </c>
      <c r="BR2" s="578">
        <v>0</v>
      </c>
      <c r="BS2" s="578">
        <v>0</v>
      </c>
      <c r="BT2" s="578">
        <v>0</v>
      </c>
      <c r="BU2" s="578">
        <v>301846.46999999997</v>
      </c>
      <c r="BV2" s="578">
        <v>805.55</v>
      </c>
      <c r="BW2" s="578">
        <v>0</v>
      </c>
      <c r="BX2" s="578">
        <v>0</v>
      </c>
      <c r="BY2" s="578">
        <v>0</v>
      </c>
      <c r="BZ2" s="578">
        <v>2356938.4300000002</v>
      </c>
      <c r="CA2" s="578">
        <v>2360173.9700000002</v>
      </c>
      <c r="CB2" s="578">
        <v>8853.25</v>
      </c>
      <c r="CC2" s="578">
        <v>17379</v>
      </c>
      <c r="CD2" s="578">
        <v>302652.02</v>
      </c>
    </row>
    <row r="3" spans="1:82" x14ac:dyDescent="0.3">
      <c r="A3" s="574" t="s">
        <v>1588</v>
      </c>
      <c r="B3" s="577">
        <v>3302227</v>
      </c>
      <c r="C3" s="574">
        <f>_xlfn.XLOOKUP(B3,'[1]Blade-Export_15-08-2022_sources'!B:B,'[1]Blade-Export_15-08-2022_sources'!F:F,0,FALSE)</f>
        <v>330</v>
      </c>
      <c r="D3" s="574">
        <f>_xlfn.XLOOKUP($B3,'[1]Blade-Export_15-08-2022_sources'!$B:$B,'[1]Blade-Export_15-08-2022_sources'!G:G,0,FALSE)</f>
        <v>2227</v>
      </c>
      <c r="E3" s="574" t="str">
        <f>_xlfn.XLOOKUP($B3,'[1]Blade-Export_15-08-2022_sources'!$B:$B,'[1]Blade-Export_15-08-2022_sources'!H:H,0,FALSE)</f>
        <v>YARDLEY WOOD JI NC</v>
      </c>
      <c r="F3" s="578">
        <v>331052.90999999997</v>
      </c>
      <c r="G3" s="578">
        <v>0</v>
      </c>
      <c r="H3" s="578">
        <v>5593.2</v>
      </c>
      <c r="I3" s="578">
        <v>2192938.25</v>
      </c>
      <c r="J3" s="578">
        <v>0</v>
      </c>
      <c r="K3" s="578">
        <v>25427.17</v>
      </c>
      <c r="L3" s="578">
        <v>0</v>
      </c>
      <c r="M3" s="578">
        <v>299935</v>
      </c>
      <c r="N3" s="578">
        <v>6910.31</v>
      </c>
      <c r="O3" s="578">
        <v>0</v>
      </c>
      <c r="P3" s="578">
        <v>87111.06</v>
      </c>
      <c r="Q3" s="578">
        <v>463.47</v>
      </c>
      <c r="R3" s="578">
        <v>0</v>
      </c>
      <c r="S3" s="578">
        <v>0</v>
      </c>
      <c r="T3" s="578">
        <v>0</v>
      </c>
      <c r="U3" s="578">
        <v>15590.5</v>
      </c>
      <c r="V3" s="578">
        <v>0</v>
      </c>
      <c r="W3" s="578"/>
      <c r="X3" s="578">
        <v>0</v>
      </c>
      <c r="Y3" s="578">
        <v>0</v>
      </c>
      <c r="Z3" s="578">
        <v>0</v>
      </c>
      <c r="AA3" s="578">
        <v>0</v>
      </c>
      <c r="AB3" s="578">
        <v>23077.81</v>
      </c>
      <c r="AC3" s="578">
        <v>12760</v>
      </c>
      <c r="AD3" s="578">
        <v>56676</v>
      </c>
      <c r="AE3" s="578">
        <v>1256808.2</v>
      </c>
      <c r="AF3" s="578">
        <v>0</v>
      </c>
      <c r="AG3" s="578">
        <v>585533.74</v>
      </c>
      <c r="AH3" s="578">
        <v>40234.68</v>
      </c>
      <c r="AI3" s="578">
        <v>168534.97</v>
      </c>
      <c r="AJ3" s="578">
        <v>0</v>
      </c>
      <c r="AK3" s="578">
        <v>88573.36</v>
      </c>
      <c r="AL3" s="578">
        <v>1479.7</v>
      </c>
      <c r="AM3" s="578">
        <v>3056</v>
      </c>
      <c r="AN3" s="578">
        <v>0</v>
      </c>
      <c r="AO3" s="578">
        <v>0</v>
      </c>
      <c r="AP3" s="578">
        <v>18948.740000000002</v>
      </c>
      <c r="AQ3" s="578">
        <v>1998</v>
      </c>
      <c r="AR3" s="578">
        <v>3755.06</v>
      </c>
      <c r="AS3" s="578">
        <v>6976.02</v>
      </c>
      <c r="AT3" s="578">
        <v>24337.8</v>
      </c>
      <c r="AU3" s="578">
        <v>20310.55</v>
      </c>
      <c r="AV3" s="578">
        <v>3370.67</v>
      </c>
      <c r="AW3" s="578">
        <v>67861.61</v>
      </c>
      <c r="AX3" s="578">
        <v>29948.05</v>
      </c>
      <c r="AY3" s="578">
        <v>0</v>
      </c>
      <c r="AZ3" s="578">
        <v>8341.42</v>
      </c>
      <c r="BA3" s="578">
        <v>8200</v>
      </c>
      <c r="BB3" s="578">
        <v>0</v>
      </c>
      <c r="BC3" s="578">
        <v>11980.01</v>
      </c>
      <c r="BD3" s="578">
        <v>72729.53</v>
      </c>
      <c r="BE3" s="578">
        <v>11715.3</v>
      </c>
      <c r="BF3" s="578">
        <v>234720.96</v>
      </c>
      <c r="BG3" s="578">
        <v>0</v>
      </c>
      <c r="BH3" s="578">
        <v>0</v>
      </c>
      <c r="BI3" s="578">
        <v>5601.98</v>
      </c>
      <c r="BJ3" s="578">
        <v>0</v>
      </c>
      <c r="BK3" s="578">
        <v>0</v>
      </c>
      <c r="BL3" s="578">
        <v>8736.25</v>
      </c>
      <c r="BM3" s="578">
        <v>0</v>
      </c>
      <c r="BN3" s="578">
        <v>0</v>
      </c>
      <c r="BO3" s="578">
        <v>10000</v>
      </c>
      <c r="BP3" s="578">
        <v>0</v>
      </c>
      <c r="BQ3" s="578">
        <v>12095</v>
      </c>
      <c r="BR3" s="578">
        <v>0</v>
      </c>
      <c r="BS3" s="578">
        <v>0</v>
      </c>
      <c r="BT3" s="578">
        <v>0</v>
      </c>
      <c r="BU3" s="578">
        <v>376926.14</v>
      </c>
      <c r="BV3" s="578">
        <v>2234.4499999999998</v>
      </c>
      <c r="BW3" s="578">
        <v>0</v>
      </c>
      <c r="BX3" s="578">
        <v>0</v>
      </c>
      <c r="BY3" s="578">
        <v>0</v>
      </c>
      <c r="BZ3" s="578">
        <v>2720889.57</v>
      </c>
      <c r="CA3" s="578">
        <v>2675016.35</v>
      </c>
      <c r="CB3" s="578">
        <v>8736.25</v>
      </c>
      <c r="CC3" s="578">
        <v>12095</v>
      </c>
      <c r="CD3" s="578">
        <v>379160.59</v>
      </c>
    </row>
    <row r="4" spans="1:82" x14ac:dyDescent="0.3">
      <c r="A4" s="574" t="s">
        <v>1589</v>
      </c>
      <c r="B4" s="577">
        <v>3303421</v>
      </c>
      <c r="C4" s="574">
        <f>_xlfn.XLOOKUP(B4,'[1]Blade-Export_15-08-2022_sources'!B:B,'[1]Blade-Export_15-08-2022_sources'!F:F,0,FALSE)</f>
        <v>330</v>
      </c>
      <c r="D4" s="574">
        <f>_xlfn.XLOOKUP($B4,'[1]Blade-Export_15-08-2022_sources'!$B:$B,'[1]Blade-Export_15-08-2022_sources'!G:G,0,FALSE)</f>
        <v>3421</v>
      </c>
      <c r="E4" s="574" t="str">
        <f>_xlfn.XLOOKUP($B4,'[1]Blade-Export_15-08-2022_sources'!$B:$B,'[1]Blade-Export_15-08-2022_sources'!H:H,0,FALSE)</f>
        <v xml:space="preserve">YARDLEY JI </v>
      </c>
      <c r="F4" s="578">
        <v>637656.39</v>
      </c>
      <c r="G4" s="578">
        <v>0</v>
      </c>
      <c r="H4" s="578">
        <v>0</v>
      </c>
      <c r="I4" s="578">
        <v>3681246.67</v>
      </c>
      <c r="J4" s="578">
        <v>0</v>
      </c>
      <c r="K4" s="578">
        <v>25967.85</v>
      </c>
      <c r="L4" s="578">
        <v>0</v>
      </c>
      <c r="M4" s="578">
        <v>340250</v>
      </c>
      <c r="N4" s="578">
        <v>8091.56</v>
      </c>
      <c r="O4" s="578">
        <v>0</v>
      </c>
      <c r="P4" s="578">
        <v>273644.94</v>
      </c>
      <c r="Q4" s="578">
        <v>740.71</v>
      </c>
      <c r="R4" s="578">
        <v>0</v>
      </c>
      <c r="S4" s="578">
        <v>0</v>
      </c>
      <c r="T4" s="578">
        <v>0</v>
      </c>
      <c r="U4" s="578">
        <v>27106.3</v>
      </c>
      <c r="V4" s="578">
        <v>0</v>
      </c>
      <c r="W4" s="578"/>
      <c r="X4" s="578">
        <v>0</v>
      </c>
      <c r="Y4" s="578">
        <v>0</v>
      </c>
      <c r="Z4" s="578">
        <v>0</v>
      </c>
      <c r="AA4" s="578">
        <v>0</v>
      </c>
      <c r="AB4" s="578">
        <v>27561.56</v>
      </c>
      <c r="AC4" s="578">
        <v>27800</v>
      </c>
      <c r="AD4" s="578">
        <v>109546.5</v>
      </c>
      <c r="AE4" s="578">
        <v>2454840.5499999998</v>
      </c>
      <c r="AF4" s="578">
        <v>11923.05</v>
      </c>
      <c r="AG4" s="578">
        <v>516116.67</v>
      </c>
      <c r="AH4" s="578">
        <v>86630.61</v>
      </c>
      <c r="AI4" s="578">
        <v>307723.84000000003</v>
      </c>
      <c r="AJ4" s="578">
        <v>0</v>
      </c>
      <c r="AK4" s="578">
        <v>106137.24</v>
      </c>
      <c r="AL4" s="578">
        <v>917.71</v>
      </c>
      <c r="AM4" s="578">
        <v>12068.94</v>
      </c>
      <c r="AN4" s="578">
        <v>0</v>
      </c>
      <c r="AO4" s="578">
        <v>0</v>
      </c>
      <c r="AP4" s="578">
        <v>51143.34</v>
      </c>
      <c r="AQ4" s="578">
        <v>1150.07</v>
      </c>
      <c r="AR4" s="578">
        <v>101670.39999999999</v>
      </c>
      <c r="AS4" s="578">
        <v>12153.71</v>
      </c>
      <c r="AT4" s="578">
        <v>40632.69</v>
      </c>
      <c r="AU4" s="578">
        <v>32674.560000000001</v>
      </c>
      <c r="AV4" s="578">
        <v>6115.51</v>
      </c>
      <c r="AW4" s="578">
        <v>128591.86</v>
      </c>
      <c r="AX4" s="578">
        <v>27879.94</v>
      </c>
      <c r="AY4" s="578">
        <v>0</v>
      </c>
      <c r="AZ4" s="578">
        <v>32708.94</v>
      </c>
      <c r="BA4" s="578">
        <v>21336.26</v>
      </c>
      <c r="BB4" s="578">
        <v>0</v>
      </c>
      <c r="BC4" s="578">
        <v>201374.1</v>
      </c>
      <c r="BD4" s="578">
        <v>90447</v>
      </c>
      <c r="BE4" s="578">
        <v>115638.57</v>
      </c>
      <c r="BF4" s="578">
        <v>269914.71999999997</v>
      </c>
      <c r="BG4" s="578">
        <v>0</v>
      </c>
      <c r="BH4" s="578">
        <v>0</v>
      </c>
      <c r="BI4" s="578">
        <v>0</v>
      </c>
      <c r="BJ4" s="578">
        <v>0</v>
      </c>
      <c r="BK4" s="578">
        <v>0</v>
      </c>
      <c r="BL4" s="578">
        <v>13450</v>
      </c>
      <c r="BM4" s="578">
        <v>0</v>
      </c>
      <c r="BN4" s="578">
        <v>0</v>
      </c>
      <c r="BO4" s="578">
        <v>10000</v>
      </c>
      <c r="BP4" s="578">
        <v>0</v>
      </c>
      <c r="BQ4" s="578">
        <v>12095</v>
      </c>
      <c r="BR4" s="578">
        <v>0</v>
      </c>
      <c r="BS4" s="578">
        <v>0</v>
      </c>
      <c r="BT4" s="578">
        <v>0</v>
      </c>
      <c r="BU4" s="578">
        <v>529822.21</v>
      </c>
      <c r="BV4" s="578">
        <v>1355</v>
      </c>
      <c r="BW4" s="578">
        <v>0</v>
      </c>
      <c r="BX4" s="578">
        <v>0</v>
      </c>
      <c r="BY4" s="578">
        <v>0</v>
      </c>
      <c r="BZ4" s="578">
        <v>4521956.09</v>
      </c>
      <c r="CA4" s="578">
        <v>4629790.28</v>
      </c>
      <c r="CB4" s="578">
        <v>13450</v>
      </c>
      <c r="CC4" s="578">
        <v>12095</v>
      </c>
      <c r="CD4" s="578">
        <v>531177.21</v>
      </c>
    </row>
    <row r="5" spans="1:82" hidden="1" x14ac:dyDescent="0.3">
      <c r="A5" s="574" t="s">
        <v>1590</v>
      </c>
      <c r="B5" s="577">
        <v>3302412</v>
      </c>
      <c r="C5" s="574">
        <f>_xlfn.XLOOKUP(B5,'[1]Blade-Export_15-08-2022_sources'!B:B,'[1]Blade-Export_15-08-2022_sources'!F:F,0,FALSE)</f>
        <v>330</v>
      </c>
      <c r="D5" s="574">
        <f>_xlfn.XLOOKUP($B5,'[1]Blade-Export_15-08-2022_sources'!$B:$B,'[1]Blade-Export_15-08-2022_sources'!G:G,0,FALSE)</f>
        <v>2412</v>
      </c>
      <c r="E5" s="574" t="str">
        <f>_xlfn.XLOOKUP($B5,'[1]Blade-Export_15-08-2022_sources'!$B:$B,'[1]Blade-Export_15-08-2022_sources'!H:H,0,FALSE)</f>
        <v xml:space="preserve">WYLDE GREEN JI </v>
      </c>
      <c r="F5" s="578">
        <v>383005.97</v>
      </c>
      <c r="G5" s="578">
        <v>0</v>
      </c>
      <c r="H5" s="578">
        <v>45148.55</v>
      </c>
      <c r="I5" s="578">
        <v>1837389.67</v>
      </c>
      <c r="J5" s="578">
        <v>0</v>
      </c>
      <c r="K5" s="578">
        <v>41098.959999999999</v>
      </c>
      <c r="L5" s="578">
        <v>0</v>
      </c>
      <c r="M5" s="578">
        <v>129050</v>
      </c>
      <c r="N5" s="578">
        <v>2775.94</v>
      </c>
      <c r="O5" s="578">
        <v>45000</v>
      </c>
      <c r="P5" s="578">
        <v>222807.14</v>
      </c>
      <c r="Q5" s="578">
        <v>0</v>
      </c>
      <c r="R5" s="578">
        <v>0</v>
      </c>
      <c r="S5" s="578">
        <v>0</v>
      </c>
      <c r="T5" s="578">
        <v>0</v>
      </c>
      <c r="U5" s="578">
        <v>21563.83</v>
      </c>
      <c r="V5" s="578">
        <v>0</v>
      </c>
      <c r="W5" s="578"/>
      <c r="X5" s="578">
        <v>0</v>
      </c>
      <c r="Y5" s="578">
        <v>0</v>
      </c>
      <c r="Z5" s="578">
        <v>0</v>
      </c>
      <c r="AA5" s="578">
        <v>0</v>
      </c>
      <c r="AB5" s="578">
        <v>9300.94</v>
      </c>
      <c r="AC5" s="578">
        <v>13930</v>
      </c>
      <c r="AD5" s="578">
        <v>84505</v>
      </c>
      <c r="AE5" s="578">
        <v>1213401.32</v>
      </c>
      <c r="AF5" s="578">
        <v>0</v>
      </c>
      <c r="AG5" s="578">
        <v>136045.48000000001</v>
      </c>
      <c r="AH5" s="578">
        <v>77027.56</v>
      </c>
      <c r="AI5" s="578">
        <v>159753.63</v>
      </c>
      <c r="AJ5" s="578">
        <v>0</v>
      </c>
      <c r="AK5" s="578">
        <v>55343.22</v>
      </c>
      <c r="AL5" s="578">
        <v>3337</v>
      </c>
      <c r="AM5" s="578">
        <v>4431.5</v>
      </c>
      <c r="AN5" s="578">
        <v>0</v>
      </c>
      <c r="AO5" s="578">
        <v>0</v>
      </c>
      <c r="AP5" s="578">
        <v>85190.74</v>
      </c>
      <c r="AQ5" s="578">
        <v>10672.36</v>
      </c>
      <c r="AR5" s="578">
        <v>7545.98</v>
      </c>
      <c r="AS5" s="578">
        <v>5423.39</v>
      </c>
      <c r="AT5" s="578">
        <v>21245.78</v>
      </c>
      <c r="AU5" s="578">
        <v>31130.880000000001</v>
      </c>
      <c r="AV5" s="578">
        <v>4880.1899999999996</v>
      </c>
      <c r="AW5" s="578">
        <v>62542.94</v>
      </c>
      <c r="AX5" s="578">
        <v>24780.69</v>
      </c>
      <c r="AY5" s="578">
        <v>0</v>
      </c>
      <c r="AZ5" s="578">
        <v>35768.120000000003</v>
      </c>
      <c r="BA5" s="578">
        <v>8200</v>
      </c>
      <c r="BB5" s="578">
        <v>0</v>
      </c>
      <c r="BC5" s="578">
        <v>66727.73</v>
      </c>
      <c r="BD5" s="578">
        <v>38456.67</v>
      </c>
      <c r="BE5" s="578">
        <v>25664</v>
      </c>
      <c r="BF5" s="578">
        <v>224993.01</v>
      </c>
      <c r="BG5" s="578">
        <v>0</v>
      </c>
      <c r="BH5" s="578">
        <v>237.78</v>
      </c>
      <c r="BI5" s="578">
        <v>11338</v>
      </c>
      <c r="BJ5" s="578">
        <v>0</v>
      </c>
      <c r="BK5" s="578">
        <v>0</v>
      </c>
      <c r="BL5" s="578">
        <v>8730.6200000000008</v>
      </c>
      <c r="BM5" s="578">
        <v>0</v>
      </c>
      <c r="BN5" s="578">
        <v>0</v>
      </c>
      <c r="BO5" s="578">
        <v>10000</v>
      </c>
      <c r="BP5" s="578">
        <v>0</v>
      </c>
      <c r="BQ5" s="578">
        <v>0</v>
      </c>
      <c r="BR5" s="578">
        <v>0</v>
      </c>
      <c r="BS5" s="578">
        <v>0</v>
      </c>
      <c r="BT5" s="578">
        <v>0</v>
      </c>
      <c r="BU5" s="578">
        <v>476289.47</v>
      </c>
      <c r="BV5" s="578">
        <v>53879.17</v>
      </c>
      <c r="BW5" s="578">
        <v>0</v>
      </c>
      <c r="BX5" s="578">
        <v>0</v>
      </c>
      <c r="BY5" s="578">
        <v>0</v>
      </c>
      <c r="BZ5" s="578">
        <v>2407421.48</v>
      </c>
      <c r="CA5" s="578">
        <v>2314137.9700000002</v>
      </c>
      <c r="CB5" s="578">
        <v>8730.6200000000008</v>
      </c>
      <c r="CC5" s="578">
        <v>0</v>
      </c>
      <c r="CD5" s="578">
        <v>530168.64</v>
      </c>
    </row>
    <row r="6" spans="1:82" hidden="1" x14ac:dyDescent="0.3">
      <c r="A6" s="574" t="s">
        <v>1591</v>
      </c>
      <c r="B6" s="577">
        <v>3302225</v>
      </c>
      <c r="C6" s="574">
        <f>_xlfn.XLOOKUP(B6,'[1]Blade-Export_15-08-2022_sources'!B:B,'[1]Blade-Export_15-08-2022_sources'!F:F,0,FALSE)</f>
        <v>330</v>
      </c>
      <c r="D6" s="574">
        <f>_xlfn.XLOOKUP($B6,'[1]Blade-Export_15-08-2022_sources'!$B:$B,'[1]Blade-Export_15-08-2022_sources'!G:G,0,FALSE)</f>
        <v>2225</v>
      </c>
      <c r="E6" s="574" t="str">
        <f>_xlfn.XLOOKUP($B6,'[1]Blade-Export_15-08-2022_sources'!$B:$B,'[1]Blade-Export_15-08-2022_sources'!H:H,0,FALSE)</f>
        <v xml:space="preserve">WORLDS END J </v>
      </c>
      <c r="F6" s="578">
        <v>524390.64</v>
      </c>
      <c r="G6" s="578">
        <v>0</v>
      </c>
      <c r="H6" s="578">
        <v>8829.65</v>
      </c>
      <c r="I6" s="578">
        <v>1686662.86</v>
      </c>
      <c r="J6" s="578">
        <v>0</v>
      </c>
      <c r="K6" s="578">
        <v>180052.82</v>
      </c>
      <c r="L6" s="578">
        <v>0</v>
      </c>
      <c r="M6" s="578">
        <v>223580</v>
      </c>
      <c r="N6" s="578">
        <v>6001.41</v>
      </c>
      <c r="O6" s="578">
        <v>0</v>
      </c>
      <c r="P6" s="578">
        <v>15857.78</v>
      </c>
      <c r="Q6" s="578">
        <v>0</v>
      </c>
      <c r="R6" s="578">
        <v>0</v>
      </c>
      <c r="S6" s="578">
        <v>0</v>
      </c>
      <c r="T6" s="578">
        <v>0</v>
      </c>
      <c r="U6" s="578">
        <v>12636.8</v>
      </c>
      <c r="V6" s="578">
        <v>0</v>
      </c>
      <c r="W6" s="578"/>
      <c r="X6" s="578">
        <v>0</v>
      </c>
      <c r="Y6" s="578">
        <v>0</v>
      </c>
      <c r="Z6" s="578">
        <v>0</v>
      </c>
      <c r="AA6" s="578">
        <v>0</v>
      </c>
      <c r="AB6" s="578">
        <v>18102.91</v>
      </c>
      <c r="AC6" s="578">
        <v>12230</v>
      </c>
      <c r="AD6" s="578">
        <v>19600</v>
      </c>
      <c r="AE6" s="578">
        <v>1001963.48</v>
      </c>
      <c r="AF6" s="578">
        <v>0</v>
      </c>
      <c r="AG6" s="578">
        <v>520705.86</v>
      </c>
      <c r="AH6" s="578">
        <v>76172.62</v>
      </c>
      <c r="AI6" s="578">
        <v>131618.26</v>
      </c>
      <c r="AJ6" s="578">
        <v>0</v>
      </c>
      <c r="AK6" s="578">
        <v>47972.26</v>
      </c>
      <c r="AL6" s="578">
        <v>3517.02</v>
      </c>
      <c r="AM6" s="578">
        <v>12883.4</v>
      </c>
      <c r="AN6" s="578">
        <v>0</v>
      </c>
      <c r="AO6" s="578">
        <v>0</v>
      </c>
      <c r="AP6" s="578">
        <v>19816.259999999998</v>
      </c>
      <c r="AQ6" s="578">
        <v>1893.47</v>
      </c>
      <c r="AR6" s="578">
        <v>5362.21</v>
      </c>
      <c r="AS6" s="578">
        <v>6430</v>
      </c>
      <c r="AT6" s="578">
        <v>23659.040000000001</v>
      </c>
      <c r="AU6" s="578">
        <v>19797.7</v>
      </c>
      <c r="AV6" s="578">
        <v>4037.09</v>
      </c>
      <c r="AW6" s="578">
        <v>44261.65</v>
      </c>
      <c r="AX6" s="578">
        <v>32563.14</v>
      </c>
      <c r="AY6" s="578">
        <v>0</v>
      </c>
      <c r="AZ6" s="578">
        <v>11590.41</v>
      </c>
      <c r="BA6" s="578">
        <v>8200</v>
      </c>
      <c r="BB6" s="578">
        <v>121236</v>
      </c>
      <c r="BC6" s="578">
        <v>112872.65</v>
      </c>
      <c r="BD6" s="578">
        <v>21900.12</v>
      </c>
      <c r="BE6" s="578">
        <v>55208</v>
      </c>
      <c r="BF6" s="578">
        <v>84213.86</v>
      </c>
      <c r="BG6" s="578">
        <v>0</v>
      </c>
      <c r="BH6" s="578">
        <v>221.85</v>
      </c>
      <c r="BI6" s="578">
        <v>0</v>
      </c>
      <c r="BJ6" s="578">
        <v>0</v>
      </c>
      <c r="BK6" s="578">
        <v>0</v>
      </c>
      <c r="BL6" s="578">
        <v>8050</v>
      </c>
      <c r="BM6" s="578">
        <v>0</v>
      </c>
      <c r="BN6" s="578">
        <v>0</v>
      </c>
      <c r="BO6" s="578">
        <v>10000</v>
      </c>
      <c r="BP6" s="578">
        <v>0</v>
      </c>
      <c r="BQ6" s="578">
        <v>0</v>
      </c>
      <c r="BR6" s="578">
        <v>0</v>
      </c>
      <c r="BS6" s="578">
        <v>0</v>
      </c>
      <c r="BT6" s="578">
        <v>0</v>
      </c>
      <c r="BU6" s="578">
        <v>331018.86</v>
      </c>
      <c r="BV6" s="578">
        <v>16879.650000000001</v>
      </c>
      <c r="BW6" s="578">
        <v>0</v>
      </c>
      <c r="BX6" s="578">
        <v>0</v>
      </c>
      <c r="BY6" s="578">
        <v>0</v>
      </c>
      <c r="BZ6" s="578">
        <v>2174724.58</v>
      </c>
      <c r="CA6" s="578">
        <v>2368096.35</v>
      </c>
      <c r="CB6" s="578">
        <v>8050</v>
      </c>
      <c r="CC6" s="578">
        <v>0</v>
      </c>
      <c r="CD6" s="578">
        <v>347898.51</v>
      </c>
    </row>
    <row r="7" spans="1:82" hidden="1" x14ac:dyDescent="0.3">
      <c r="A7" s="574" t="s">
        <v>1592</v>
      </c>
      <c r="B7" s="577">
        <v>3302317</v>
      </c>
      <c r="C7" s="574">
        <f>_xlfn.XLOOKUP(B7,'[1]Blade-Export_15-08-2022_sources'!B:B,'[1]Blade-Export_15-08-2022_sources'!F:F,0,FALSE)</f>
        <v>330</v>
      </c>
      <c r="D7" s="574">
        <f>_xlfn.XLOOKUP($B7,'[1]Blade-Export_15-08-2022_sources'!$B:$B,'[1]Blade-Export_15-08-2022_sources'!G:G,0,FALSE)</f>
        <v>2317</v>
      </c>
      <c r="E7" s="574" t="str">
        <f>_xlfn.XLOOKUP($B7,'[1]Blade-Export_15-08-2022_sources'!$B:$B,'[1]Blade-Export_15-08-2022_sources'!H:H,0,FALSE)</f>
        <v>WORLDS END I NC</v>
      </c>
      <c r="F7" s="578">
        <v>56955.48</v>
      </c>
      <c r="G7" s="578">
        <v>0</v>
      </c>
      <c r="H7" s="578">
        <v>0.28000000000000003</v>
      </c>
      <c r="I7" s="578">
        <v>1565649.13</v>
      </c>
      <c r="J7" s="578">
        <v>0</v>
      </c>
      <c r="K7" s="578">
        <v>230388.6</v>
      </c>
      <c r="L7" s="578">
        <v>0</v>
      </c>
      <c r="M7" s="578">
        <v>145260</v>
      </c>
      <c r="N7" s="578">
        <v>2693.91</v>
      </c>
      <c r="O7" s="578">
        <v>0</v>
      </c>
      <c r="P7" s="578">
        <v>0</v>
      </c>
      <c r="Q7" s="578">
        <v>79.739999999999995</v>
      </c>
      <c r="R7" s="578">
        <v>0</v>
      </c>
      <c r="S7" s="578">
        <v>0</v>
      </c>
      <c r="T7" s="578">
        <v>0</v>
      </c>
      <c r="U7" s="578">
        <v>43249.23</v>
      </c>
      <c r="V7" s="578">
        <v>0</v>
      </c>
      <c r="W7" s="578"/>
      <c r="X7" s="578">
        <v>0</v>
      </c>
      <c r="Y7" s="578">
        <v>0</v>
      </c>
      <c r="Z7" s="578">
        <v>0</v>
      </c>
      <c r="AA7" s="578">
        <v>0</v>
      </c>
      <c r="AB7" s="578">
        <v>10640.91</v>
      </c>
      <c r="AC7" s="578">
        <v>9330</v>
      </c>
      <c r="AD7" s="578">
        <v>79659</v>
      </c>
      <c r="AE7" s="578">
        <v>854518.74</v>
      </c>
      <c r="AF7" s="578">
        <v>0</v>
      </c>
      <c r="AG7" s="578">
        <v>463466.91</v>
      </c>
      <c r="AH7" s="578">
        <v>55474.31</v>
      </c>
      <c r="AI7" s="578">
        <v>70896.960000000006</v>
      </c>
      <c r="AJ7" s="578">
        <v>0</v>
      </c>
      <c r="AK7" s="578">
        <v>61614.89</v>
      </c>
      <c r="AL7" s="578">
        <v>380</v>
      </c>
      <c r="AM7" s="578">
        <v>6453</v>
      </c>
      <c r="AN7" s="578">
        <v>0</v>
      </c>
      <c r="AO7" s="578">
        <v>0</v>
      </c>
      <c r="AP7" s="578">
        <v>23249.67</v>
      </c>
      <c r="AQ7" s="578">
        <v>1177.32</v>
      </c>
      <c r="AR7" s="578">
        <v>4846.1400000000003</v>
      </c>
      <c r="AS7" s="578">
        <v>8390.34</v>
      </c>
      <c r="AT7" s="578">
        <v>36913.339999999997</v>
      </c>
      <c r="AU7" s="578">
        <v>14935.1</v>
      </c>
      <c r="AV7" s="578">
        <v>5298.91</v>
      </c>
      <c r="AW7" s="578">
        <v>47436.57</v>
      </c>
      <c r="AX7" s="578">
        <v>5536.46</v>
      </c>
      <c r="AY7" s="578">
        <v>0</v>
      </c>
      <c r="AZ7" s="578">
        <v>48671.49</v>
      </c>
      <c r="BA7" s="578">
        <v>4450</v>
      </c>
      <c r="BB7" s="578">
        <v>0</v>
      </c>
      <c r="BC7" s="578">
        <v>0</v>
      </c>
      <c r="BD7" s="578">
        <v>72123.58</v>
      </c>
      <c r="BE7" s="578">
        <v>1495.59</v>
      </c>
      <c r="BF7" s="578">
        <v>152846.99</v>
      </c>
      <c r="BG7" s="578">
        <v>0</v>
      </c>
      <c r="BH7" s="578">
        <v>0</v>
      </c>
      <c r="BI7" s="578">
        <v>0</v>
      </c>
      <c r="BJ7" s="578">
        <v>0</v>
      </c>
      <c r="BK7" s="578">
        <v>0</v>
      </c>
      <c r="BL7" s="578">
        <v>7645</v>
      </c>
      <c r="BM7" s="578">
        <v>0</v>
      </c>
      <c r="BN7" s="578">
        <v>0</v>
      </c>
      <c r="BO7" s="578">
        <v>10000</v>
      </c>
      <c r="BP7" s="578">
        <v>0</v>
      </c>
      <c r="BQ7" s="578">
        <v>0</v>
      </c>
      <c r="BR7" s="578">
        <v>0</v>
      </c>
      <c r="BS7" s="578">
        <v>0</v>
      </c>
      <c r="BT7" s="578">
        <v>0</v>
      </c>
      <c r="BU7" s="578">
        <v>203729.69</v>
      </c>
      <c r="BV7" s="578">
        <v>7645.28</v>
      </c>
      <c r="BW7" s="578">
        <v>0</v>
      </c>
      <c r="BX7" s="578">
        <v>0</v>
      </c>
      <c r="BY7" s="578">
        <v>0</v>
      </c>
      <c r="BZ7" s="578">
        <v>2086950.52</v>
      </c>
      <c r="CA7" s="578">
        <v>1940176.31</v>
      </c>
      <c r="CB7" s="578">
        <v>7645</v>
      </c>
      <c r="CC7" s="578">
        <v>0</v>
      </c>
      <c r="CD7" s="578">
        <v>211374.97</v>
      </c>
    </row>
    <row r="8" spans="1:82" hidden="1" x14ac:dyDescent="0.3">
      <c r="A8" s="574" t="s">
        <v>1593</v>
      </c>
      <c r="B8" s="577">
        <v>3302314</v>
      </c>
      <c r="C8" s="574">
        <f>_xlfn.XLOOKUP(B8,'[1]Blade-Export_15-08-2022_sources'!B:B,'[1]Blade-Export_15-08-2022_sources'!F:F,0,FALSE)</f>
        <v>330</v>
      </c>
      <c r="D8" s="574">
        <f>_xlfn.XLOOKUP($B8,'[1]Blade-Export_15-08-2022_sources'!$B:$B,'[1]Blade-Export_15-08-2022_sources'!G:G,0,FALSE)</f>
        <v>2314</v>
      </c>
      <c r="E8" s="574" t="str">
        <f>_xlfn.XLOOKUP($B8,'[1]Blade-Export_15-08-2022_sources'!$B:$B,'[1]Blade-Export_15-08-2022_sources'!H:H,0,FALSE)</f>
        <v xml:space="preserve">WOODTHORPE JI </v>
      </c>
      <c r="F8" s="578">
        <v>111879.15</v>
      </c>
      <c r="G8" s="578">
        <v>0</v>
      </c>
      <c r="H8" s="578">
        <v>9712.1299999999992</v>
      </c>
      <c r="I8" s="578">
        <v>958419.86</v>
      </c>
      <c r="J8" s="578">
        <v>0</v>
      </c>
      <c r="K8" s="578">
        <v>5699.32</v>
      </c>
      <c r="L8" s="578">
        <v>0</v>
      </c>
      <c r="M8" s="578">
        <v>70905</v>
      </c>
      <c r="N8" s="578">
        <v>1653.75</v>
      </c>
      <c r="O8" s="578">
        <v>0</v>
      </c>
      <c r="P8" s="578">
        <v>26800.44</v>
      </c>
      <c r="Q8" s="578">
        <v>129.04</v>
      </c>
      <c r="R8" s="578">
        <v>2504.5</v>
      </c>
      <c r="S8" s="578">
        <v>0</v>
      </c>
      <c r="T8" s="578">
        <v>0</v>
      </c>
      <c r="U8" s="578">
        <v>15939.31</v>
      </c>
      <c r="V8" s="578">
        <v>0</v>
      </c>
      <c r="W8" s="578"/>
      <c r="X8" s="578">
        <v>0</v>
      </c>
      <c r="Y8" s="578">
        <v>0</v>
      </c>
      <c r="Z8" s="578">
        <v>0</v>
      </c>
      <c r="AA8" s="578">
        <v>0</v>
      </c>
      <c r="AB8" s="578">
        <v>5206.25</v>
      </c>
      <c r="AC8" s="578">
        <v>6830</v>
      </c>
      <c r="AD8" s="578">
        <v>48801</v>
      </c>
      <c r="AE8" s="578">
        <v>601488.84</v>
      </c>
      <c r="AF8" s="578">
        <v>0</v>
      </c>
      <c r="AG8" s="578">
        <v>124121.54</v>
      </c>
      <c r="AH8" s="578">
        <v>42132.27</v>
      </c>
      <c r="AI8" s="578">
        <v>59947.85</v>
      </c>
      <c r="AJ8" s="578">
        <v>56.5</v>
      </c>
      <c r="AK8" s="578">
        <v>30858.400000000001</v>
      </c>
      <c r="AL8" s="578">
        <v>1217.5999999999999</v>
      </c>
      <c r="AM8" s="578">
        <v>5372.66</v>
      </c>
      <c r="AN8" s="578">
        <v>7295</v>
      </c>
      <c r="AO8" s="578">
        <v>0</v>
      </c>
      <c r="AP8" s="578">
        <v>8054.58</v>
      </c>
      <c r="AQ8" s="578">
        <v>1237.75</v>
      </c>
      <c r="AR8" s="578">
        <v>1365.22</v>
      </c>
      <c r="AS8" s="578">
        <v>5392.64</v>
      </c>
      <c r="AT8" s="578">
        <v>14398.48</v>
      </c>
      <c r="AU8" s="578">
        <v>18053.82</v>
      </c>
      <c r="AV8" s="578">
        <v>5784.83</v>
      </c>
      <c r="AW8" s="578">
        <v>51284.51</v>
      </c>
      <c r="AX8" s="578">
        <v>7334.63</v>
      </c>
      <c r="AY8" s="578">
        <v>0</v>
      </c>
      <c r="AZ8" s="578">
        <v>11305.25</v>
      </c>
      <c r="BA8" s="578">
        <v>4450</v>
      </c>
      <c r="BB8" s="578">
        <v>0</v>
      </c>
      <c r="BC8" s="578">
        <v>41412.949999999997</v>
      </c>
      <c r="BD8" s="578">
        <v>25144.79</v>
      </c>
      <c r="BE8" s="578">
        <v>20470</v>
      </c>
      <c r="BF8" s="578">
        <v>66082.789999999994</v>
      </c>
      <c r="BG8" s="578">
        <v>0</v>
      </c>
      <c r="BH8" s="578">
        <v>0</v>
      </c>
      <c r="BI8" s="578">
        <v>8204.25</v>
      </c>
      <c r="BJ8" s="578">
        <v>0</v>
      </c>
      <c r="BK8" s="578">
        <v>0</v>
      </c>
      <c r="BL8" s="578">
        <v>6340</v>
      </c>
      <c r="BM8" s="578">
        <v>0</v>
      </c>
      <c r="BN8" s="578">
        <v>0</v>
      </c>
      <c r="BO8" s="578">
        <v>10000</v>
      </c>
      <c r="BP8" s="578">
        <v>0</v>
      </c>
      <c r="BQ8" s="578">
        <v>2800</v>
      </c>
      <c r="BR8" s="578">
        <v>0</v>
      </c>
      <c r="BS8" s="578">
        <v>0</v>
      </c>
      <c r="BT8" s="578">
        <v>0</v>
      </c>
      <c r="BU8" s="578">
        <v>92300.47</v>
      </c>
      <c r="BV8" s="578">
        <v>13252.13</v>
      </c>
      <c r="BW8" s="578">
        <v>0</v>
      </c>
      <c r="BX8" s="578">
        <v>0</v>
      </c>
      <c r="BY8" s="578">
        <v>0</v>
      </c>
      <c r="BZ8" s="578">
        <v>1142888.47</v>
      </c>
      <c r="CA8" s="578">
        <v>1162467.1499999999</v>
      </c>
      <c r="CB8" s="578">
        <v>6340</v>
      </c>
      <c r="CC8" s="578">
        <v>2800</v>
      </c>
      <c r="CD8" s="578">
        <v>105552.6</v>
      </c>
    </row>
    <row r="9" spans="1:82" hidden="1" x14ac:dyDescent="0.3">
      <c r="A9" s="574" t="s">
        <v>1594</v>
      </c>
      <c r="B9" s="577">
        <v>3302278</v>
      </c>
      <c r="C9" s="574">
        <f>_xlfn.XLOOKUP(B9,'[1]Blade-Export_15-08-2022_sources'!B:B,'[1]Blade-Export_15-08-2022_sources'!F:F,0,FALSE)</f>
        <v>330</v>
      </c>
      <c r="D9" s="574">
        <f>_xlfn.XLOOKUP($B9,'[1]Blade-Export_15-08-2022_sources'!$B:$B,'[1]Blade-Export_15-08-2022_sources'!G:G,0,FALSE)</f>
        <v>2278</v>
      </c>
      <c r="E9" s="574" t="str">
        <f>_xlfn.XLOOKUP($B9,'[1]Blade-Export_15-08-2022_sources'!$B:$B,'[1]Blade-Export_15-08-2022_sources'!H:H,0,FALSE)</f>
        <v xml:space="preserve">WOODGATE JI </v>
      </c>
      <c r="F9" s="578">
        <v>249789.32</v>
      </c>
      <c r="G9" s="578">
        <v>0</v>
      </c>
      <c r="H9" s="578">
        <v>8365</v>
      </c>
      <c r="I9" s="578">
        <v>1969699.67</v>
      </c>
      <c r="J9" s="578">
        <v>0</v>
      </c>
      <c r="K9" s="578">
        <v>65354.73</v>
      </c>
      <c r="L9" s="578">
        <v>0</v>
      </c>
      <c r="M9" s="578">
        <v>291865</v>
      </c>
      <c r="N9" s="578">
        <v>6969.38</v>
      </c>
      <c r="O9" s="578">
        <v>0</v>
      </c>
      <c r="P9" s="578">
        <v>60463.05</v>
      </c>
      <c r="Q9" s="578">
        <v>349.71</v>
      </c>
      <c r="R9" s="578">
        <v>0</v>
      </c>
      <c r="S9" s="578">
        <v>0</v>
      </c>
      <c r="T9" s="578">
        <v>0</v>
      </c>
      <c r="U9" s="578">
        <v>5871</v>
      </c>
      <c r="V9" s="578">
        <v>0</v>
      </c>
      <c r="W9" s="578"/>
      <c r="X9" s="578">
        <v>0</v>
      </c>
      <c r="Y9" s="578">
        <v>0</v>
      </c>
      <c r="Z9" s="578">
        <v>0</v>
      </c>
      <c r="AA9" s="578">
        <v>0</v>
      </c>
      <c r="AB9" s="578">
        <v>23665.63</v>
      </c>
      <c r="AC9" s="578">
        <v>13260</v>
      </c>
      <c r="AD9" s="578">
        <v>37121</v>
      </c>
      <c r="AE9" s="578">
        <v>1083348.76</v>
      </c>
      <c r="AF9" s="578">
        <v>0</v>
      </c>
      <c r="AG9" s="578">
        <v>469113.98</v>
      </c>
      <c r="AH9" s="578">
        <v>65242.720000000001</v>
      </c>
      <c r="AI9" s="578">
        <v>166961.07</v>
      </c>
      <c r="AJ9" s="578">
        <v>0</v>
      </c>
      <c r="AK9" s="578">
        <v>55434.37</v>
      </c>
      <c r="AL9" s="578">
        <v>3936.2</v>
      </c>
      <c r="AM9" s="578">
        <v>0</v>
      </c>
      <c r="AN9" s="578">
        <v>0</v>
      </c>
      <c r="AO9" s="578">
        <v>0</v>
      </c>
      <c r="AP9" s="578">
        <v>71446.58</v>
      </c>
      <c r="AQ9" s="578">
        <v>4807.5</v>
      </c>
      <c r="AR9" s="578">
        <v>2066.73</v>
      </c>
      <c r="AS9" s="578">
        <v>6254.76</v>
      </c>
      <c r="AT9" s="578">
        <v>34706.69</v>
      </c>
      <c r="AU9" s="578">
        <v>23821.01</v>
      </c>
      <c r="AV9" s="578">
        <v>7249.62</v>
      </c>
      <c r="AW9" s="578">
        <v>41716.29</v>
      </c>
      <c r="AX9" s="578">
        <v>7692.41</v>
      </c>
      <c r="AY9" s="578">
        <v>0</v>
      </c>
      <c r="AZ9" s="578">
        <v>71500.789999999994</v>
      </c>
      <c r="BA9" s="578">
        <v>8200</v>
      </c>
      <c r="BB9" s="578">
        <v>0</v>
      </c>
      <c r="BC9" s="578">
        <v>12584.02</v>
      </c>
      <c r="BD9" s="578">
        <v>52808</v>
      </c>
      <c r="BE9" s="578">
        <v>452.71</v>
      </c>
      <c r="BF9" s="578">
        <v>262061.63</v>
      </c>
      <c r="BG9" s="578">
        <v>0</v>
      </c>
      <c r="BH9" s="578">
        <v>0</v>
      </c>
      <c r="BI9" s="578">
        <v>0</v>
      </c>
      <c r="BJ9" s="578">
        <v>0</v>
      </c>
      <c r="BK9" s="578">
        <v>0</v>
      </c>
      <c r="BL9" s="578">
        <v>8488.75</v>
      </c>
      <c r="BM9" s="578">
        <v>0</v>
      </c>
      <c r="BN9" s="578">
        <v>0</v>
      </c>
      <c r="BO9" s="578">
        <v>10000</v>
      </c>
      <c r="BP9" s="578">
        <v>0</v>
      </c>
      <c r="BQ9" s="578">
        <v>0</v>
      </c>
      <c r="BR9" s="578">
        <v>0</v>
      </c>
      <c r="BS9" s="578">
        <v>0</v>
      </c>
      <c r="BT9" s="578">
        <v>0</v>
      </c>
      <c r="BU9" s="578">
        <v>273002.63</v>
      </c>
      <c r="BV9" s="578">
        <v>16853.75</v>
      </c>
      <c r="BW9" s="578">
        <v>0</v>
      </c>
      <c r="BX9" s="578">
        <v>0</v>
      </c>
      <c r="BY9" s="578">
        <v>0</v>
      </c>
      <c r="BZ9" s="578">
        <v>2474619.17</v>
      </c>
      <c r="CA9" s="578">
        <v>2451405.84</v>
      </c>
      <c r="CB9" s="578">
        <v>8488.75</v>
      </c>
      <c r="CC9" s="578">
        <v>0</v>
      </c>
      <c r="CD9" s="578">
        <v>289856.38</v>
      </c>
    </row>
    <row r="10" spans="1:82" hidden="1" x14ac:dyDescent="0.3">
      <c r="A10" s="574" t="s">
        <v>1595</v>
      </c>
      <c r="B10" s="577">
        <v>3302445</v>
      </c>
      <c r="C10" s="574">
        <f>_xlfn.XLOOKUP(B10,'[1]Blade-Export_15-08-2022_sources'!B:B,'[1]Blade-Export_15-08-2022_sources'!F:F,0,FALSE)</f>
        <v>330</v>
      </c>
      <c r="D10" s="574">
        <f>_xlfn.XLOOKUP($B10,'[1]Blade-Export_15-08-2022_sources'!$B:$B,'[1]Blade-Export_15-08-2022_sources'!G:G,0,FALSE)</f>
        <v>2445</v>
      </c>
      <c r="E10" s="574" t="str">
        <f>_xlfn.XLOOKUP($B10,'[1]Blade-Export_15-08-2022_sources'!$B:$B,'[1]Blade-Export_15-08-2022_sources'!H:H,0,FALSE)</f>
        <v xml:space="preserve">WOODCOCK HILL JI </v>
      </c>
      <c r="F10" s="578">
        <v>76237.27</v>
      </c>
      <c r="G10" s="578">
        <v>0</v>
      </c>
      <c r="H10" s="578">
        <v>8983.2999999999993</v>
      </c>
      <c r="I10" s="578">
        <v>1190957.5900000001</v>
      </c>
      <c r="J10" s="578">
        <v>0</v>
      </c>
      <c r="K10" s="578">
        <v>19698.259999999998</v>
      </c>
      <c r="L10" s="578">
        <v>0</v>
      </c>
      <c r="M10" s="578">
        <v>192335</v>
      </c>
      <c r="N10" s="578">
        <v>4370.63</v>
      </c>
      <c r="O10" s="578">
        <v>0</v>
      </c>
      <c r="P10" s="578">
        <v>28490.43</v>
      </c>
      <c r="Q10" s="578">
        <v>106.73</v>
      </c>
      <c r="R10" s="578">
        <v>261.24</v>
      </c>
      <c r="S10" s="578">
        <v>0</v>
      </c>
      <c r="T10" s="578">
        <v>0</v>
      </c>
      <c r="U10" s="578">
        <v>7556.5</v>
      </c>
      <c r="V10" s="578">
        <v>0</v>
      </c>
      <c r="W10" s="578"/>
      <c r="X10" s="578">
        <v>0</v>
      </c>
      <c r="Y10" s="578">
        <v>0</v>
      </c>
      <c r="Z10" s="578">
        <v>0</v>
      </c>
      <c r="AA10" s="578">
        <v>0</v>
      </c>
      <c r="AB10" s="578">
        <v>15938.13</v>
      </c>
      <c r="AC10" s="578">
        <v>6900</v>
      </c>
      <c r="AD10" s="578">
        <v>25509</v>
      </c>
      <c r="AE10" s="578">
        <v>577453.32999999996</v>
      </c>
      <c r="AF10" s="578">
        <v>0</v>
      </c>
      <c r="AG10" s="578">
        <v>226444.18</v>
      </c>
      <c r="AH10" s="578">
        <v>35163.74</v>
      </c>
      <c r="AI10" s="578">
        <v>198233.34</v>
      </c>
      <c r="AJ10" s="578">
        <v>0</v>
      </c>
      <c r="AK10" s="578">
        <v>44920.63</v>
      </c>
      <c r="AL10" s="578">
        <v>1408.9</v>
      </c>
      <c r="AM10" s="578">
        <v>340</v>
      </c>
      <c r="AN10" s="578">
        <v>0</v>
      </c>
      <c r="AO10" s="578">
        <v>0</v>
      </c>
      <c r="AP10" s="578">
        <v>14019.35</v>
      </c>
      <c r="AQ10" s="578">
        <v>3806</v>
      </c>
      <c r="AR10" s="578">
        <v>2999.8</v>
      </c>
      <c r="AS10" s="578">
        <v>8549.5400000000009</v>
      </c>
      <c r="AT10" s="578">
        <v>38201.35</v>
      </c>
      <c r="AU10" s="578">
        <v>13916.49</v>
      </c>
      <c r="AV10" s="578">
        <v>5005</v>
      </c>
      <c r="AW10" s="578">
        <v>27045.16</v>
      </c>
      <c r="AX10" s="578">
        <v>3962.21</v>
      </c>
      <c r="AY10" s="578">
        <v>0</v>
      </c>
      <c r="AZ10" s="578">
        <v>73896.14</v>
      </c>
      <c r="BA10" s="578">
        <v>4450</v>
      </c>
      <c r="BB10" s="578">
        <v>0</v>
      </c>
      <c r="BC10" s="578">
        <v>4508.59</v>
      </c>
      <c r="BD10" s="578">
        <v>63013.31</v>
      </c>
      <c r="BE10" s="578">
        <v>1134.6300000000001</v>
      </c>
      <c r="BF10" s="578">
        <v>130934.61</v>
      </c>
      <c r="BG10" s="578">
        <v>0</v>
      </c>
      <c r="BH10" s="578">
        <v>0</v>
      </c>
      <c r="BI10" s="578">
        <v>0</v>
      </c>
      <c r="BJ10" s="578">
        <v>0</v>
      </c>
      <c r="BK10" s="578">
        <v>0</v>
      </c>
      <c r="BL10" s="578">
        <v>6362.5</v>
      </c>
      <c r="BM10" s="578">
        <v>0</v>
      </c>
      <c r="BN10" s="578">
        <v>0</v>
      </c>
      <c r="BO10" s="578">
        <v>10000</v>
      </c>
      <c r="BP10" s="578">
        <v>0</v>
      </c>
      <c r="BQ10" s="578">
        <v>7602.04</v>
      </c>
      <c r="BR10" s="578">
        <v>0</v>
      </c>
      <c r="BS10" s="578">
        <v>0</v>
      </c>
      <c r="BT10" s="578">
        <v>0</v>
      </c>
      <c r="BU10" s="578">
        <v>88954.46</v>
      </c>
      <c r="BV10" s="578">
        <v>7743.76</v>
      </c>
      <c r="BW10" s="578">
        <v>0</v>
      </c>
      <c r="BX10" s="578">
        <v>0</v>
      </c>
      <c r="BY10" s="578">
        <v>0</v>
      </c>
      <c r="BZ10" s="578">
        <v>1492123.51</v>
      </c>
      <c r="CA10" s="578">
        <v>1479406.3</v>
      </c>
      <c r="CB10" s="578">
        <v>6362.5</v>
      </c>
      <c r="CC10" s="578">
        <v>7602.04</v>
      </c>
      <c r="CD10" s="578">
        <v>96698.22</v>
      </c>
    </row>
    <row r="11" spans="1:82" hidden="1" x14ac:dyDescent="0.3">
      <c r="A11" s="574" t="s">
        <v>1596</v>
      </c>
      <c r="B11" s="577">
        <v>3302293</v>
      </c>
      <c r="C11" s="574">
        <f>_xlfn.XLOOKUP(B11,'[1]Blade-Export_15-08-2022_sources'!B:B,'[1]Blade-Export_15-08-2022_sources'!F:F,0,FALSE)</f>
        <v>330</v>
      </c>
      <c r="D11" s="574">
        <f>_xlfn.XLOOKUP($B11,'[1]Blade-Export_15-08-2022_sources'!$B:$B,'[1]Blade-Export_15-08-2022_sources'!G:G,0,FALSE)</f>
        <v>2293</v>
      </c>
      <c r="E11" s="574" t="str">
        <f>_xlfn.XLOOKUP($B11,'[1]Blade-Export_15-08-2022_sources'!$B:$B,'[1]Blade-Export_15-08-2022_sources'!H:H,0,FALSE)</f>
        <v>William Murdoch Primary School (formerly Wilkes Green J)</v>
      </c>
      <c r="F11" s="578">
        <v>2130470.4500000002</v>
      </c>
      <c r="G11" s="578">
        <v>0</v>
      </c>
      <c r="H11" s="578">
        <v>79914.48</v>
      </c>
      <c r="I11" s="578">
        <v>3061931.02</v>
      </c>
      <c r="J11" s="578">
        <v>0</v>
      </c>
      <c r="K11" s="578">
        <v>10620.57</v>
      </c>
      <c r="L11" s="578">
        <v>0</v>
      </c>
      <c r="M11" s="578">
        <v>386325</v>
      </c>
      <c r="N11" s="578">
        <v>9095.6299999999992</v>
      </c>
      <c r="O11" s="578">
        <v>0</v>
      </c>
      <c r="P11" s="578">
        <v>0</v>
      </c>
      <c r="Q11" s="578">
        <v>0</v>
      </c>
      <c r="R11" s="578">
        <v>0</v>
      </c>
      <c r="S11" s="578">
        <v>0</v>
      </c>
      <c r="T11" s="578">
        <v>0</v>
      </c>
      <c r="U11" s="578">
        <v>0</v>
      </c>
      <c r="V11" s="578">
        <v>0</v>
      </c>
      <c r="W11" s="578"/>
      <c r="X11" s="578">
        <v>0</v>
      </c>
      <c r="Y11" s="578">
        <v>0</v>
      </c>
      <c r="Z11" s="578">
        <v>0</v>
      </c>
      <c r="AA11" s="578">
        <v>0</v>
      </c>
      <c r="AB11" s="578">
        <v>30021.25</v>
      </c>
      <c r="AC11" s="578">
        <v>20600</v>
      </c>
      <c r="AD11" s="578">
        <v>74575</v>
      </c>
      <c r="AE11" s="578">
        <v>1418237.49</v>
      </c>
      <c r="AF11" s="578">
        <v>0</v>
      </c>
      <c r="AG11" s="578">
        <v>460237.61</v>
      </c>
      <c r="AH11" s="578">
        <v>124151.49</v>
      </c>
      <c r="AI11" s="578">
        <v>183342.26</v>
      </c>
      <c r="AJ11" s="578">
        <v>0</v>
      </c>
      <c r="AK11" s="578">
        <v>106945.49</v>
      </c>
      <c r="AL11" s="578">
        <v>14914</v>
      </c>
      <c r="AM11" s="578">
        <v>15775.43</v>
      </c>
      <c r="AN11" s="578">
        <v>0</v>
      </c>
      <c r="AO11" s="578">
        <v>0</v>
      </c>
      <c r="AP11" s="578">
        <v>97239.4</v>
      </c>
      <c r="AQ11" s="578">
        <v>2176.62</v>
      </c>
      <c r="AR11" s="578">
        <v>5826.55</v>
      </c>
      <c r="AS11" s="578">
        <v>4821.78</v>
      </c>
      <c r="AT11" s="578">
        <v>55645.71</v>
      </c>
      <c r="AU11" s="578">
        <v>39878.400000000001</v>
      </c>
      <c r="AV11" s="578">
        <v>4086.1</v>
      </c>
      <c r="AW11" s="578">
        <v>130661.42</v>
      </c>
      <c r="AX11" s="578">
        <v>53658.99</v>
      </c>
      <c r="AY11" s="578">
        <v>0</v>
      </c>
      <c r="AZ11" s="578">
        <v>178723.04</v>
      </c>
      <c r="BA11" s="578">
        <v>16230</v>
      </c>
      <c r="BB11" s="578">
        <v>0</v>
      </c>
      <c r="BC11" s="578">
        <v>247925.57</v>
      </c>
      <c r="BD11" s="578">
        <v>111399.84</v>
      </c>
      <c r="BE11" s="578">
        <v>23680</v>
      </c>
      <c r="BF11" s="578">
        <v>248073.3</v>
      </c>
      <c r="BG11" s="578">
        <v>0</v>
      </c>
      <c r="BH11" s="578">
        <v>404.1</v>
      </c>
      <c r="BI11" s="578">
        <v>71121.66</v>
      </c>
      <c r="BJ11" s="578">
        <v>0</v>
      </c>
      <c r="BK11" s="578">
        <v>0</v>
      </c>
      <c r="BL11" s="578">
        <v>11406.55</v>
      </c>
      <c r="BM11" s="578">
        <v>0</v>
      </c>
      <c r="BN11" s="578">
        <v>0</v>
      </c>
      <c r="BO11" s="578">
        <v>10000</v>
      </c>
      <c r="BP11" s="578">
        <v>0</v>
      </c>
      <c r="BQ11" s="578">
        <v>0</v>
      </c>
      <c r="BR11" s="578">
        <v>0</v>
      </c>
      <c r="BS11" s="578">
        <v>0</v>
      </c>
      <c r="BT11" s="578">
        <v>0</v>
      </c>
      <c r="BU11" s="578">
        <v>2108482.67</v>
      </c>
      <c r="BV11" s="578">
        <v>91321.03</v>
      </c>
      <c r="BW11" s="578">
        <v>0</v>
      </c>
      <c r="BX11" s="578">
        <v>0</v>
      </c>
      <c r="BY11" s="578">
        <v>0</v>
      </c>
      <c r="BZ11" s="578">
        <v>3593168.47</v>
      </c>
      <c r="CA11" s="578">
        <v>3615156.25</v>
      </c>
      <c r="CB11" s="578">
        <v>11406.55</v>
      </c>
      <c r="CC11" s="578">
        <v>0</v>
      </c>
      <c r="CD11" s="578">
        <v>2199803.7000000002</v>
      </c>
    </row>
    <row r="12" spans="1:82" hidden="1" x14ac:dyDescent="0.3">
      <c r="A12" s="574" t="s">
        <v>1597</v>
      </c>
      <c r="B12" s="577">
        <v>3302478</v>
      </c>
      <c r="C12" s="574">
        <f>_xlfn.XLOOKUP(B12,'[1]Blade-Export_15-08-2022_sources'!B:B,'[1]Blade-Export_15-08-2022_sources'!F:F,0,FALSE)</f>
        <v>330</v>
      </c>
      <c r="D12" s="574">
        <f>_xlfn.XLOOKUP($B12,'[1]Blade-Export_15-08-2022_sources'!$B:$B,'[1]Blade-Export_15-08-2022_sources'!G:G,0,FALSE)</f>
        <v>2478</v>
      </c>
      <c r="E12" s="574" t="str">
        <f>_xlfn.XLOOKUP($B12,'[1]Blade-Export_15-08-2022_sources'!$B:$B,'[1]Blade-Export_15-08-2022_sources'!H:H,0,FALSE)</f>
        <v>WHITEHOUSE COMMON JI NC</v>
      </c>
      <c r="F12" s="578">
        <v>150267.92000000001</v>
      </c>
      <c r="G12" s="578">
        <v>0</v>
      </c>
      <c r="H12" s="578">
        <v>9266.2099999999991</v>
      </c>
      <c r="I12" s="578">
        <v>1906458.89</v>
      </c>
      <c r="J12" s="578">
        <v>0</v>
      </c>
      <c r="K12" s="578">
        <v>23913.56</v>
      </c>
      <c r="L12" s="578">
        <v>0</v>
      </c>
      <c r="M12" s="578">
        <v>40315</v>
      </c>
      <c r="N12" s="578">
        <v>2945</v>
      </c>
      <c r="O12" s="578">
        <v>0</v>
      </c>
      <c r="P12" s="578">
        <v>200351.29</v>
      </c>
      <c r="Q12" s="578">
        <v>210.38</v>
      </c>
      <c r="R12" s="578">
        <v>0</v>
      </c>
      <c r="S12" s="578">
        <v>0</v>
      </c>
      <c r="T12" s="578">
        <v>0</v>
      </c>
      <c r="U12" s="578">
        <v>27323.759999999998</v>
      </c>
      <c r="V12" s="578">
        <v>0</v>
      </c>
      <c r="W12" s="578"/>
      <c r="X12" s="578">
        <v>0</v>
      </c>
      <c r="Y12" s="578">
        <v>0</v>
      </c>
      <c r="Z12" s="578">
        <v>0</v>
      </c>
      <c r="AA12" s="578">
        <v>0</v>
      </c>
      <c r="AB12" s="578">
        <v>3047.5</v>
      </c>
      <c r="AC12" s="578">
        <v>14000</v>
      </c>
      <c r="AD12" s="578">
        <v>91932</v>
      </c>
      <c r="AE12" s="578">
        <v>1007783.79</v>
      </c>
      <c r="AF12" s="578">
        <v>1216</v>
      </c>
      <c r="AG12" s="578">
        <v>313184.90000000002</v>
      </c>
      <c r="AH12" s="578">
        <v>40149.410000000003</v>
      </c>
      <c r="AI12" s="578">
        <v>170551.13</v>
      </c>
      <c r="AJ12" s="578">
        <v>0</v>
      </c>
      <c r="AK12" s="578">
        <v>96191.61</v>
      </c>
      <c r="AL12" s="578">
        <v>2697.63</v>
      </c>
      <c r="AM12" s="578">
        <v>3340.5</v>
      </c>
      <c r="AN12" s="578">
        <v>0</v>
      </c>
      <c r="AO12" s="578">
        <v>0</v>
      </c>
      <c r="AP12" s="578">
        <v>30295.46</v>
      </c>
      <c r="AQ12" s="578">
        <v>3225.1</v>
      </c>
      <c r="AR12" s="578">
        <v>56774</v>
      </c>
      <c r="AS12" s="578">
        <v>4288.3500000000004</v>
      </c>
      <c r="AT12" s="578">
        <v>36539.99</v>
      </c>
      <c r="AU12" s="578">
        <v>32417.279999999999</v>
      </c>
      <c r="AV12" s="578">
        <v>9466.6299999999992</v>
      </c>
      <c r="AW12" s="578">
        <v>66539.990000000005</v>
      </c>
      <c r="AX12" s="578">
        <v>53404.74</v>
      </c>
      <c r="AY12" s="578">
        <v>0</v>
      </c>
      <c r="AZ12" s="578">
        <v>44895.88</v>
      </c>
      <c r="BA12" s="578">
        <v>8565.0400000000009</v>
      </c>
      <c r="BB12" s="578">
        <v>0</v>
      </c>
      <c r="BC12" s="578">
        <v>48099.09</v>
      </c>
      <c r="BD12" s="578">
        <v>48015.77</v>
      </c>
      <c r="BE12" s="578">
        <v>1006.75</v>
      </c>
      <c r="BF12" s="578">
        <v>169563.43</v>
      </c>
      <c r="BG12" s="578">
        <v>0</v>
      </c>
      <c r="BH12" s="578">
        <v>0</v>
      </c>
      <c r="BI12" s="578">
        <v>0</v>
      </c>
      <c r="BJ12" s="578">
        <v>0</v>
      </c>
      <c r="BK12" s="578">
        <v>0</v>
      </c>
      <c r="BL12" s="578">
        <v>9121</v>
      </c>
      <c r="BM12" s="578">
        <v>0</v>
      </c>
      <c r="BN12" s="578">
        <v>0</v>
      </c>
      <c r="BO12" s="578">
        <v>10000</v>
      </c>
      <c r="BP12" s="578">
        <v>0</v>
      </c>
      <c r="BQ12" s="578">
        <v>0</v>
      </c>
      <c r="BR12" s="578">
        <v>0</v>
      </c>
      <c r="BS12" s="578">
        <v>0</v>
      </c>
      <c r="BT12" s="578">
        <v>0</v>
      </c>
      <c r="BU12" s="578">
        <v>212552.83</v>
      </c>
      <c r="BV12" s="578">
        <v>18387.21</v>
      </c>
      <c r="BW12" s="578">
        <v>0</v>
      </c>
      <c r="BX12" s="578">
        <v>0</v>
      </c>
      <c r="BY12" s="578">
        <v>0</v>
      </c>
      <c r="BZ12" s="578">
        <v>2310497.38</v>
      </c>
      <c r="CA12" s="578">
        <v>2248212.4700000002</v>
      </c>
      <c r="CB12" s="578">
        <v>9121</v>
      </c>
      <c r="CC12" s="578">
        <v>0</v>
      </c>
      <c r="CD12" s="578">
        <v>230940.04</v>
      </c>
    </row>
    <row r="13" spans="1:82" hidden="1" x14ac:dyDescent="0.3">
      <c r="A13" s="574" t="s">
        <v>1598</v>
      </c>
      <c r="B13" s="577">
        <v>3304193</v>
      </c>
      <c r="C13" s="574">
        <f>_xlfn.XLOOKUP(B13,'[1]Blade-Export_15-08-2022_sources'!B:B,'[1]Blade-Export_15-08-2022_sources'!F:F,0,FALSE)</f>
        <v>330</v>
      </c>
      <c r="D13" s="574">
        <f>_xlfn.XLOOKUP($B13,'[1]Blade-Export_15-08-2022_sources'!$B:$B,'[1]Blade-Export_15-08-2022_sources'!G:G,0,FALSE)</f>
        <v>4193</v>
      </c>
      <c r="E13" s="574" t="str">
        <f>_xlfn.XLOOKUP($B13,'[1]Blade-Export_15-08-2022_sources'!$B:$B,'[1]Blade-Export_15-08-2022_sources'!H:H,0,FALSE)</f>
        <v xml:space="preserve">WHEELERS LANE Sec </v>
      </c>
      <c r="F13" s="578">
        <v>-108069.92</v>
      </c>
      <c r="G13" s="578">
        <v>0</v>
      </c>
      <c r="H13" s="578">
        <v>675.75</v>
      </c>
      <c r="I13" s="578">
        <v>4029687.61</v>
      </c>
      <c r="J13" s="578">
        <v>0</v>
      </c>
      <c r="K13" s="578">
        <v>62424.49</v>
      </c>
      <c r="L13" s="578">
        <v>0</v>
      </c>
      <c r="M13" s="578">
        <v>254170</v>
      </c>
      <c r="N13" s="578">
        <v>8268.75</v>
      </c>
      <c r="O13" s="578">
        <v>0</v>
      </c>
      <c r="P13" s="578">
        <v>124577.45</v>
      </c>
      <c r="Q13" s="578">
        <v>0</v>
      </c>
      <c r="R13" s="578">
        <v>94.87</v>
      </c>
      <c r="S13" s="578">
        <v>0</v>
      </c>
      <c r="T13" s="578">
        <v>0</v>
      </c>
      <c r="U13" s="578">
        <v>0</v>
      </c>
      <c r="V13" s="578">
        <v>0</v>
      </c>
      <c r="W13" s="578"/>
      <c r="X13" s="578">
        <v>0</v>
      </c>
      <c r="Y13" s="578">
        <v>0</v>
      </c>
      <c r="Z13" s="578">
        <v>0</v>
      </c>
      <c r="AA13" s="578">
        <v>0</v>
      </c>
      <c r="AB13" s="578">
        <v>51341.25</v>
      </c>
      <c r="AC13" s="578">
        <v>21800</v>
      </c>
      <c r="AD13" s="578">
        <v>2772</v>
      </c>
      <c r="AE13" s="578">
        <v>2469488.5699999998</v>
      </c>
      <c r="AF13" s="578">
        <v>0</v>
      </c>
      <c r="AG13" s="578">
        <v>136945.51999999999</v>
      </c>
      <c r="AH13" s="578">
        <v>0</v>
      </c>
      <c r="AI13" s="578">
        <v>706112.25</v>
      </c>
      <c r="AJ13" s="578">
        <v>0</v>
      </c>
      <c r="AK13" s="578">
        <v>49039.45</v>
      </c>
      <c r="AL13" s="578">
        <v>4063.3</v>
      </c>
      <c r="AM13" s="578">
        <v>49349.45</v>
      </c>
      <c r="AN13" s="578">
        <v>0</v>
      </c>
      <c r="AO13" s="578">
        <v>0</v>
      </c>
      <c r="AP13" s="578">
        <v>53361.03</v>
      </c>
      <c r="AQ13" s="578">
        <v>0</v>
      </c>
      <c r="AR13" s="578">
        <v>1118.8399999999999</v>
      </c>
      <c r="AS13" s="578">
        <v>56758.62</v>
      </c>
      <c r="AT13" s="578">
        <v>167455.44</v>
      </c>
      <c r="AU13" s="578">
        <v>101882.88</v>
      </c>
      <c r="AV13" s="578">
        <v>2472.75</v>
      </c>
      <c r="AW13" s="578">
        <v>91707.61</v>
      </c>
      <c r="AX13" s="578">
        <v>109583.48</v>
      </c>
      <c r="AY13" s="578">
        <v>50655.94</v>
      </c>
      <c r="AZ13" s="578">
        <v>71015.22</v>
      </c>
      <c r="BA13" s="578">
        <v>17785.240000000002</v>
      </c>
      <c r="BB13" s="578">
        <v>0</v>
      </c>
      <c r="BC13" s="578">
        <v>135593.51</v>
      </c>
      <c r="BD13" s="578">
        <v>2219.15</v>
      </c>
      <c r="BE13" s="578">
        <v>30197.27</v>
      </c>
      <c r="BF13" s="578">
        <v>75848.66</v>
      </c>
      <c r="BG13" s="578">
        <v>0</v>
      </c>
      <c r="BH13" s="578">
        <v>0</v>
      </c>
      <c r="BI13" s="578">
        <v>0</v>
      </c>
      <c r="BJ13" s="578">
        <v>0</v>
      </c>
      <c r="BK13" s="578">
        <v>0</v>
      </c>
      <c r="BL13" s="578">
        <v>14842.19</v>
      </c>
      <c r="BM13" s="578">
        <v>0</v>
      </c>
      <c r="BN13" s="578">
        <v>0</v>
      </c>
      <c r="BO13" s="578">
        <v>10000</v>
      </c>
      <c r="BP13" s="578">
        <v>0</v>
      </c>
      <c r="BQ13" s="578">
        <v>15039</v>
      </c>
      <c r="BR13" s="578">
        <v>0</v>
      </c>
      <c r="BS13" s="578">
        <v>0</v>
      </c>
      <c r="BT13" s="578">
        <v>0</v>
      </c>
      <c r="BU13" s="578">
        <v>64412.33</v>
      </c>
      <c r="BV13" s="578">
        <v>478.94</v>
      </c>
      <c r="BW13" s="578">
        <v>0</v>
      </c>
      <c r="BX13" s="578">
        <v>0</v>
      </c>
      <c r="BY13" s="578">
        <v>0</v>
      </c>
      <c r="BZ13" s="578">
        <v>4555136.42</v>
      </c>
      <c r="CA13" s="578">
        <v>4382654.18</v>
      </c>
      <c r="CB13" s="578">
        <v>14842.19</v>
      </c>
      <c r="CC13" s="578">
        <v>15039</v>
      </c>
      <c r="CD13" s="578">
        <v>64891.27</v>
      </c>
    </row>
    <row r="14" spans="1:82" hidden="1" x14ac:dyDescent="0.3">
      <c r="A14" s="574" t="s">
        <v>1599</v>
      </c>
      <c r="B14" s="577">
        <v>3302011</v>
      </c>
      <c r="C14" s="574">
        <f>_xlfn.XLOOKUP(B14,'[1]Blade-Export_15-08-2022_sources'!B:B,'[1]Blade-Export_15-08-2022_sources'!F:F,0,FALSE)</f>
        <v>330</v>
      </c>
      <c r="D14" s="574">
        <f>_xlfn.XLOOKUP($B14,'[1]Blade-Export_15-08-2022_sources'!$B:$B,'[1]Blade-Export_15-08-2022_sources'!G:G,0,FALSE)</f>
        <v>2011</v>
      </c>
      <c r="E14" s="574" t="str">
        <f>_xlfn.XLOOKUP($B14,'[1]Blade-Export_15-08-2022_sources'!$B:$B,'[1]Blade-Export_15-08-2022_sources'!H:H,0,FALSE)</f>
        <v>WHEELERS LANE JI NC</v>
      </c>
      <c r="F14" s="578">
        <v>533257.14</v>
      </c>
      <c r="G14" s="578">
        <v>0</v>
      </c>
      <c r="H14" s="578">
        <v>34722.85</v>
      </c>
      <c r="I14" s="578">
        <v>2862195.05</v>
      </c>
      <c r="J14" s="578">
        <v>0</v>
      </c>
      <c r="K14" s="578">
        <v>66426.11</v>
      </c>
      <c r="L14" s="578">
        <v>0</v>
      </c>
      <c r="M14" s="578">
        <v>257550</v>
      </c>
      <c r="N14" s="578">
        <v>5965.31</v>
      </c>
      <c r="O14" s="578">
        <v>0</v>
      </c>
      <c r="P14" s="578">
        <v>76857.429999999993</v>
      </c>
      <c r="Q14" s="578">
        <v>0</v>
      </c>
      <c r="R14" s="578">
        <v>31884.62</v>
      </c>
      <c r="S14" s="578">
        <v>0</v>
      </c>
      <c r="T14" s="578">
        <v>0</v>
      </c>
      <c r="U14" s="578">
        <v>7120.7</v>
      </c>
      <c r="V14" s="578">
        <v>0</v>
      </c>
      <c r="W14" s="578"/>
      <c r="X14" s="578">
        <v>0</v>
      </c>
      <c r="Y14" s="578">
        <v>0</v>
      </c>
      <c r="Z14" s="578">
        <v>0</v>
      </c>
      <c r="AA14" s="578">
        <v>0</v>
      </c>
      <c r="AB14" s="578">
        <v>20940.310000000001</v>
      </c>
      <c r="AC14" s="578">
        <v>20430</v>
      </c>
      <c r="AD14" s="578">
        <v>97943.65</v>
      </c>
      <c r="AE14" s="578">
        <v>1967359.66</v>
      </c>
      <c r="AF14" s="578">
        <v>0</v>
      </c>
      <c r="AG14" s="578">
        <v>298444.87</v>
      </c>
      <c r="AH14" s="578">
        <v>0</v>
      </c>
      <c r="AI14" s="578">
        <v>191219.22</v>
      </c>
      <c r="AJ14" s="578">
        <v>122494.61</v>
      </c>
      <c r="AK14" s="578">
        <v>61096.53</v>
      </c>
      <c r="AL14" s="578">
        <v>20053.5</v>
      </c>
      <c r="AM14" s="578">
        <v>2167.5</v>
      </c>
      <c r="AN14" s="578">
        <v>0</v>
      </c>
      <c r="AO14" s="578">
        <v>0</v>
      </c>
      <c r="AP14" s="578">
        <v>22736.62</v>
      </c>
      <c r="AQ14" s="578">
        <v>0</v>
      </c>
      <c r="AR14" s="578">
        <v>86.01</v>
      </c>
      <c r="AS14" s="578">
        <v>22212.400000000001</v>
      </c>
      <c r="AT14" s="578">
        <v>66745.37</v>
      </c>
      <c r="AU14" s="578">
        <v>84714.81</v>
      </c>
      <c r="AV14" s="578">
        <v>14589.3</v>
      </c>
      <c r="AW14" s="578">
        <v>68877.87</v>
      </c>
      <c r="AX14" s="578">
        <v>32742.43</v>
      </c>
      <c r="AY14" s="578">
        <v>0</v>
      </c>
      <c r="AZ14" s="578">
        <v>14031.18</v>
      </c>
      <c r="BA14" s="578">
        <v>16230</v>
      </c>
      <c r="BB14" s="578">
        <v>0</v>
      </c>
      <c r="BC14" s="578">
        <v>55500.01</v>
      </c>
      <c r="BD14" s="578">
        <v>132273.39000000001</v>
      </c>
      <c r="BE14" s="578">
        <v>33957.11</v>
      </c>
      <c r="BF14" s="578">
        <v>316458.99</v>
      </c>
      <c r="BG14" s="578">
        <v>0</v>
      </c>
      <c r="BH14" s="578">
        <v>342.42</v>
      </c>
      <c r="BI14" s="578">
        <v>0</v>
      </c>
      <c r="BJ14" s="578">
        <v>0</v>
      </c>
      <c r="BK14" s="578">
        <v>0</v>
      </c>
      <c r="BL14" s="578">
        <v>11170.75</v>
      </c>
      <c r="BM14" s="578">
        <v>0</v>
      </c>
      <c r="BN14" s="578">
        <v>0</v>
      </c>
      <c r="BO14" s="578">
        <v>10000</v>
      </c>
      <c r="BP14" s="578">
        <v>0</v>
      </c>
      <c r="BQ14" s="578">
        <v>0</v>
      </c>
      <c r="BR14" s="578">
        <v>0</v>
      </c>
      <c r="BS14" s="578">
        <v>0</v>
      </c>
      <c r="BT14" s="578">
        <v>0</v>
      </c>
      <c r="BU14" s="578">
        <v>436236.53</v>
      </c>
      <c r="BV14" s="578">
        <v>45893.599999999999</v>
      </c>
      <c r="BW14" s="578">
        <v>0</v>
      </c>
      <c r="BX14" s="578">
        <v>0</v>
      </c>
      <c r="BY14" s="578">
        <v>0</v>
      </c>
      <c r="BZ14" s="578">
        <v>3447313.18</v>
      </c>
      <c r="CA14" s="578">
        <v>3544333.8</v>
      </c>
      <c r="CB14" s="578">
        <v>11170.75</v>
      </c>
      <c r="CC14" s="578">
        <v>0</v>
      </c>
      <c r="CD14" s="578">
        <v>482130.13</v>
      </c>
    </row>
    <row r="15" spans="1:82" hidden="1" x14ac:dyDescent="0.3">
      <c r="A15" s="574" t="s">
        <v>1600</v>
      </c>
      <c r="B15" s="577">
        <v>3302019</v>
      </c>
      <c r="C15" s="574">
        <f>_xlfn.XLOOKUP(B15,'[1]Blade-Export_15-08-2022_sources'!B:B,'[1]Blade-Export_15-08-2022_sources'!F:F,0,FALSE)</f>
        <v>330</v>
      </c>
      <c r="D15" s="574">
        <f>_xlfn.XLOOKUP($B15,'[1]Blade-Export_15-08-2022_sources'!$B:$B,'[1]Blade-Export_15-08-2022_sources'!G:G,0,FALSE)</f>
        <v>2019</v>
      </c>
      <c r="E15" s="574" t="str">
        <f>_xlfn.XLOOKUP($B15,'[1]Blade-Export_15-08-2022_sources'!$B:$B,'[1]Blade-Export_15-08-2022_sources'!H:H,0,FALSE)</f>
        <v xml:space="preserve">WEST HEATH JI </v>
      </c>
      <c r="F15" s="578">
        <v>-81020.759999999995</v>
      </c>
      <c r="G15" s="578">
        <v>0</v>
      </c>
      <c r="H15" s="578">
        <v>6835.01</v>
      </c>
      <c r="I15" s="578">
        <v>2013301.74</v>
      </c>
      <c r="J15" s="578">
        <v>0</v>
      </c>
      <c r="K15" s="578">
        <v>38227.94</v>
      </c>
      <c r="L15" s="578">
        <v>0</v>
      </c>
      <c r="M15" s="578">
        <v>283070</v>
      </c>
      <c r="N15" s="578">
        <v>6555.94</v>
      </c>
      <c r="O15" s="578">
        <v>0</v>
      </c>
      <c r="P15" s="578">
        <v>7733.48</v>
      </c>
      <c r="Q15" s="578">
        <v>0</v>
      </c>
      <c r="R15" s="578">
        <v>0</v>
      </c>
      <c r="S15" s="578">
        <v>0</v>
      </c>
      <c r="T15" s="578">
        <v>0</v>
      </c>
      <c r="U15" s="578">
        <v>39586.400000000001</v>
      </c>
      <c r="V15" s="578">
        <v>0</v>
      </c>
      <c r="W15" s="578"/>
      <c r="X15" s="578">
        <v>0</v>
      </c>
      <c r="Y15" s="578">
        <v>0</v>
      </c>
      <c r="Z15" s="578">
        <v>0</v>
      </c>
      <c r="AA15" s="578">
        <v>0</v>
      </c>
      <c r="AB15" s="578">
        <v>21635.94</v>
      </c>
      <c r="AC15" s="578">
        <v>13530</v>
      </c>
      <c r="AD15" s="578">
        <v>63508</v>
      </c>
      <c r="AE15" s="578">
        <v>1045922.85</v>
      </c>
      <c r="AF15" s="578">
        <v>0</v>
      </c>
      <c r="AG15" s="578">
        <v>312711.03000000003</v>
      </c>
      <c r="AH15" s="578">
        <v>22404.99</v>
      </c>
      <c r="AI15" s="578">
        <v>332984.96000000002</v>
      </c>
      <c r="AJ15" s="578">
        <v>490.76</v>
      </c>
      <c r="AK15" s="578">
        <v>55420.94</v>
      </c>
      <c r="AL15" s="578">
        <v>2449.67</v>
      </c>
      <c r="AM15" s="578">
        <v>8277.1200000000008</v>
      </c>
      <c r="AN15" s="578">
        <v>0</v>
      </c>
      <c r="AO15" s="578">
        <v>0</v>
      </c>
      <c r="AP15" s="578">
        <v>8729.01</v>
      </c>
      <c r="AQ15" s="578">
        <v>12022.85</v>
      </c>
      <c r="AR15" s="578">
        <v>6613.98</v>
      </c>
      <c r="AS15" s="578">
        <v>18252.22</v>
      </c>
      <c r="AT15" s="578">
        <v>13389.21</v>
      </c>
      <c r="AU15" s="578">
        <v>55905.599999999999</v>
      </c>
      <c r="AV15" s="578">
        <v>6187.05</v>
      </c>
      <c r="AW15" s="578">
        <v>110776.51</v>
      </c>
      <c r="AX15" s="578">
        <v>27850.33</v>
      </c>
      <c r="AY15" s="578">
        <v>0</v>
      </c>
      <c r="AZ15" s="578">
        <v>57027.14</v>
      </c>
      <c r="BA15" s="578">
        <v>9500</v>
      </c>
      <c r="BB15" s="578">
        <v>0</v>
      </c>
      <c r="BC15" s="578">
        <v>102485.15</v>
      </c>
      <c r="BD15" s="578">
        <v>36310.269999999997</v>
      </c>
      <c r="BE15" s="578">
        <v>1091.69</v>
      </c>
      <c r="BF15" s="578">
        <v>197499.16</v>
      </c>
      <c r="BG15" s="578">
        <v>0</v>
      </c>
      <c r="BH15" s="578">
        <v>0</v>
      </c>
      <c r="BI15" s="578">
        <v>0</v>
      </c>
      <c r="BJ15" s="578">
        <v>0</v>
      </c>
      <c r="BK15" s="578">
        <v>0</v>
      </c>
      <c r="BL15" s="578">
        <v>8545</v>
      </c>
      <c r="BM15" s="578">
        <v>0</v>
      </c>
      <c r="BN15" s="578">
        <v>0</v>
      </c>
      <c r="BO15" s="578">
        <v>10000</v>
      </c>
      <c r="BP15" s="578">
        <v>0</v>
      </c>
      <c r="BQ15" s="578">
        <v>0</v>
      </c>
      <c r="BR15" s="578">
        <v>9190</v>
      </c>
      <c r="BS15" s="578">
        <v>0</v>
      </c>
      <c r="BT15" s="578">
        <v>0</v>
      </c>
      <c r="BU15" s="578">
        <v>-38173.800000000003</v>
      </c>
      <c r="BV15" s="578">
        <v>6190.01</v>
      </c>
      <c r="BW15" s="578">
        <v>0</v>
      </c>
      <c r="BX15" s="578">
        <v>0</v>
      </c>
      <c r="BY15" s="578">
        <v>0</v>
      </c>
      <c r="BZ15" s="578">
        <v>2487149.44</v>
      </c>
      <c r="CA15" s="578">
        <v>2444302.4900000002</v>
      </c>
      <c r="CB15" s="578">
        <v>8545</v>
      </c>
      <c r="CC15" s="578">
        <v>9190</v>
      </c>
      <c r="CD15" s="578">
        <v>-31983.79</v>
      </c>
    </row>
    <row r="16" spans="1:82" hidden="1" x14ac:dyDescent="0.3">
      <c r="A16" s="574" t="s">
        <v>1601</v>
      </c>
      <c r="B16" s="577">
        <v>3301014</v>
      </c>
      <c r="C16" s="574">
        <f>_xlfn.XLOOKUP(B16,'[1]Blade-Export_15-08-2022_sources'!B:B,'[1]Blade-Export_15-08-2022_sources'!F:F,0,FALSE)</f>
        <v>330</v>
      </c>
      <c r="D16" s="574">
        <f>_xlfn.XLOOKUP($B16,'[1]Blade-Export_15-08-2022_sources'!$B:$B,'[1]Blade-Export_15-08-2022_sources'!G:G,0,FALSE)</f>
        <v>1014</v>
      </c>
      <c r="E16" s="574" t="str">
        <f>_xlfn.XLOOKUP($B16,'[1]Blade-Export_15-08-2022_sources'!$B:$B,'[1]Blade-Export_15-08-2022_sources'!H:H,0,FALSE)</f>
        <v>WEST HEATH Nurs</v>
      </c>
      <c r="F16" s="578">
        <v>113474.67</v>
      </c>
      <c r="G16" s="578">
        <v>0</v>
      </c>
      <c r="H16" s="578">
        <v>18128.52</v>
      </c>
      <c r="I16" s="578">
        <v>584771.49</v>
      </c>
      <c r="J16" s="578">
        <v>0</v>
      </c>
      <c r="K16" s="578">
        <v>36683</v>
      </c>
      <c r="L16" s="578">
        <v>0</v>
      </c>
      <c r="M16" s="578">
        <v>0</v>
      </c>
      <c r="N16" s="578">
        <v>0</v>
      </c>
      <c r="O16" s="578">
        <v>0</v>
      </c>
      <c r="P16" s="578">
        <v>0</v>
      </c>
      <c r="Q16" s="578">
        <v>158.86000000000001</v>
      </c>
      <c r="R16" s="578">
        <v>252.73</v>
      </c>
      <c r="S16" s="578">
        <v>0</v>
      </c>
      <c r="T16" s="578">
        <v>0</v>
      </c>
      <c r="U16" s="578">
        <v>1065.54</v>
      </c>
      <c r="V16" s="578">
        <v>0</v>
      </c>
      <c r="W16" s="578"/>
      <c r="X16" s="578">
        <v>0</v>
      </c>
      <c r="Y16" s="578">
        <v>0</v>
      </c>
      <c r="Z16" s="578">
        <v>0</v>
      </c>
      <c r="AA16" s="578">
        <v>0</v>
      </c>
      <c r="AB16" s="578">
        <v>0</v>
      </c>
      <c r="AC16" s="578">
        <v>0</v>
      </c>
      <c r="AD16" s="578">
        <v>0</v>
      </c>
      <c r="AE16" s="578">
        <v>200245.09</v>
      </c>
      <c r="AF16" s="578">
        <v>0</v>
      </c>
      <c r="AG16" s="578">
        <v>120472.64</v>
      </c>
      <c r="AH16" s="578">
        <v>22729.91</v>
      </c>
      <c r="AI16" s="578">
        <v>63289.43</v>
      </c>
      <c r="AJ16" s="578">
        <v>0</v>
      </c>
      <c r="AK16" s="578">
        <v>0</v>
      </c>
      <c r="AL16" s="578">
        <v>1110.8</v>
      </c>
      <c r="AM16" s="578">
        <v>3303.67</v>
      </c>
      <c r="AN16" s="578">
        <v>0</v>
      </c>
      <c r="AO16" s="578">
        <v>0</v>
      </c>
      <c r="AP16" s="578">
        <v>42651.81</v>
      </c>
      <c r="AQ16" s="578">
        <v>3467.5</v>
      </c>
      <c r="AR16" s="578">
        <v>2053.89</v>
      </c>
      <c r="AS16" s="578">
        <v>951.66</v>
      </c>
      <c r="AT16" s="578">
        <v>9453.68</v>
      </c>
      <c r="AU16" s="578">
        <v>5239.5</v>
      </c>
      <c r="AV16" s="578">
        <v>2072.81</v>
      </c>
      <c r="AW16" s="578">
        <v>22204.3</v>
      </c>
      <c r="AX16" s="578">
        <v>1643.17</v>
      </c>
      <c r="AY16" s="578">
        <v>0</v>
      </c>
      <c r="AZ16" s="578">
        <v>3879.29</v>
      </c>
      <c r="BA16" s="578">
        <v>2850</v>
      </c>
      <c r="BB16" s="578">
        <v>0</v>
      </c>
      <c r="BC16" s="578">
        <v>7591.03</v>
      </c>
      <c r="BD16" s="578">
        <v>70122.929999999993</v>
      </c>
      <c r="BE16" s="578">
        <v>730</v>
      </c>
      <c r="BF16" s="578">
        <v>36398.69</v>
      </c>
      <c r="BG16" s="578">
        <v>0</v>
      </c>
      <c r="BH16" s="578">
        <v>0</v>
      </c>
      <c r="BI16" s="578">
        <v>0</v>
      </c>
      <c r="BJ16" s="578">
        <v>0</v>
      </c>
      <c r="BK16" s="578">
        <v>0</v>
      </c>
      <c r="BL16" s="578">
        <v>4965.25</v>
      </c>
      <c r="BM16" s="578">
        <v>0</v>
      </c>
      <c r="BN16" s="578">
        <v>0</v>
      </c>
      <c r="BO16" s="578">
        <v>10000</v>
      </c>
      <c r="BP16" s="578">
        <v>0</v>
      </c>
      <c r="BQ16" s="578">
        <v>0</v>
      </c>
      <c r="BR16" s="578">
        <v>0</v>
      </c>
      <c r="BS16" s="578">
        <v>0</v>
      </c>
      <c r="BT16" s="578">
        <v>0</v>
      </c>
      <c r="BU16" s="578">
        <v>113944.5</v>
      </c>
      <c r="BV16" s="578">
        <v>23093.77</v>
      </c>
      <c r="BW16" s="578">
        <v>0</v>
      </c>
      <c r="BX16" s="578">
        <v>0</v>
      </c>
      <c r="BY16" s="578">
        <v>0</v>
      </c>
      <c r="BZ16" s="578">
        <v>622931.62</v>
      </c>
      <c r="CA16" s="578">
        <v>622461.80000000005</v>
      </c>
      <c r="CB16" s="578">
        <v>4965.25</v>
      </c>
      <c r="CC16" s="578">
        <v>0</v>
      </c>
      <c r="CD16" s="578">
        <v>137038.26999999999</v>
      </c>
    </row>
    <row r="17" spans="1:82" hidden="1" x14ac:dyDescent="0.3">
      <c r="A17" s="574" t="s">
        <v>1602</v>
      </c>
      <c r="B17" s="577">
        <v>3301020</v>
      </c>
      <c r="C17" s="574">
        <f>_xlfn.XLOOKUP(B17,'[1]Blade-Export_15-08-2022_sources'!B:B,'[1]Blade-Export_15-08-2022_sources'!F:F,0,FALSE)</f>
        <v>330</v>
      </c>
      <c r="D17" s="574">
        <f>_xlfn.XLOOKUP($B17,'[1]Blade-Export_15-08-2022_sources'!$B:$B,'[1]Blade-Export_15-08-2022_sources'!G:G,0,FALSE)</f>
        <v>1020</v>
      </c>
      <c r="E17" s="574" t="str">
        <f>_xlfn.XLOOKUP($B17,'[1]Blade-Export_15-08-2022_sources'!$B:$B,'[1]Blade-Export_15-08-2022_sources'!H:H,0,FALSE)</f>
        <v>WEOLEY CASTLE Nurs</v>
      </c>
      <c r="F17" s="578">
        <v>-90176.68</v>
      </c>
      <c r="G17" s="578">
        <v>0</v>
      </c>
      <c r="H17" s="578">
        <v>17314.61</v>
      </c>
      <c r="I17" s="578">
        <v>903546.15</v>
      </c>
      <c r="J17" s="578">
        <v>0</v>
      </c>
      <c r="K17" s="578">
        <v>22882.58</v>
      </c>
      <c r="L17" s="578">
        <v>0</v>
      </c>
      <c r="M17" s="578">
        <v>0</v>
      </c>
      <c r="N17" s="578">
        <v>0</v>
      </c>
      <c r="O17" s="578">
        <v>0</v>
      </c>
      <c r="P17" s="578">
        <v>175388.34</v>
      </c>
      <c r="Q17" s="578">
        <v>0</v>
      </c>
      <c r="R17" s="578">
        <v>681.58</v>
      </c>
      <c r="S17" s="578">
        <v>0</v>
      </c>
      <c r="T17" s="578">
        <v>0</v>
      </c>
      <c r="U17" s="578">
        <v>15591.52</v>
      </c>
      <c r="V17" s="578">
        <v>0</v>
      </c>
      <c r="W17" s="578"/>
      <c r="X17" s="578">
        <v>0</v>
      </c>
      <c r="Y17" s="578">
        <v>0</v>
      </c>
      <c r="Z17" s="578">
        <v>0</v>
      </c>
      <c r="AA17" s="578">
        <v>0</v>
      </c>
      <c r="AB17" s="578">
        <v>0</v>
      </c>
      <c r="AC17" s="578">
        <v>0</v>
      </c>
      <c r="AD17" s="578">
        <v>0</v>
      </c>
      <c r="AE17" s="578">
        <v>297461.84999999998</v>
      </c>
      <c r="AF17" s="578">
        <v>0</v>
      </c>
      <c r="AG17" s="578">
        <v>315515.02</v>
      </c>
      <c r="AH17" s="578">
        <v>51083.75</v>
      </c>
      <c r="AI17" s="578">
        <v>178294.69</v>
      </c>
      <c r="AJ17" s="578">
        <v>0</v>
      </c>
      <c r="AK17" s="578">
        <v>3981.26</v>
      </c>
      <c r="AL17" s="578">
        <v>1739.9</v>
      </c>
      <c r="AM17" s="578">
        <v>2655.65</v>
      </c>
      <c r="AN17" s="578">
        <v>0</v>
      </c>
      <c r="AO17" s="578">
        <v>0</v>
      </c>
      <c r="AP17" s="578">
        <v>8972.1200000000008</v>
      </c>
      <c r="AQ17" s="578">
        <v>0</v>
      </c>
      <c r="AR17" s="578">
        <v>25590.65</v>
      </c>
      <c r="AS17" s="578">
        <v>0</v>
      </c>
      <c r="AT17" s="578">
        <v>16089.73</v>
      </c>
      <c r="AU17" s="578">
        <v>7672.92</v>
      </c>
      <c r="AV17" s="578">
        <v>1463.8</v>
      </c>
      <c r="AW17" s="578">
        <v>20319.18</v>
      </c>
      <c r="AX17" s="578">
        <v>3184.14</v>
      </c>
      <c r="AY17" s="578">
        <v>0</v>
      </c>
      <c r="AZ17" s="578">
        <v>8350.24</v>
      </c>
      <c r="BA17" s="578">
        <v>2850</v>
      </c>
      <c r="BB17" s="578">
        <v>0</v>
      </c>
      <c r="BC17" s="578">
        <v>10523.94</v>
      </c>
      <c r="BD17" s="578">
        <v>0</v>
      </c>
      <c r="BE17" s="578">
        <v>2401.64</v>
      </c>
      <c r="BF17" s="578">
        <v>115253.71</v>
      </c>
      <c r="BG17" s="578">
        <v>0</v>
      </c>
      <c r="BH17" s="578">
        <v>0</v>
      </c>
      <c r="BI17" s="578">
        <v>0</v>
      </c>
      <c r="BJ17" s="578">
        <v>0</v>
      </c>
      <c r="BK17" s="578">
        <v>0</v>
      </c>
      <c r="BL17" s="578">
        <v>5659.15</v>
      </c>
      <c r="BM17" s="578">
        <v>0</v>
      </c>
      <c r="BN17" s="578">
        <v>0</v>
      </c>
      <c r="BO17" s="578">
        <v>10000</v>
      </c>
      <c r="BP17" s="578">
        <v>0</v>
      </c>
      <c r="BQ17" s="578">
        <v>0</v>
      </c>
      <c r="BR17" s="578">
        <v>0</v>
      </c>
      <c r="BS17" s="578">
        <v>0</v>
      </c>
      <c r="BT17" s="578">
        <v>0</v>
      </c>
      <c r="BU17" s="578">
        <v>-45490.69</v>
      </c>
      <c r="BV17" s="578">
        <v>22973.759999999998</v>
      </c>
      <c r="BW17" s="578">
        <v>0</v>
      </c>
      <c r="BX17" s="578">
        <v>0</v>
      </c>
      <c r="BY17" s="578">
        <v>0</v>
      </c>
      <c r="BZ17" s="578">
        <v>1118090.17</v>
      </c>
      <c r="CA17" s="578">
        <v>1073404.19</v>
      </c>
      <c r="CB17" s="578">
        <v>5659.15</v>
      </c>
      <c r="CC17" s="578">
        <v>0</v>
      </c>
      <c r="CD17" s="578">
        <v>-22516.93</v>
      </c>
    </row>
    <row r="18" spans="1:82" hidden="1" x14ac:dyDescent="0.3">
      <c r="A18" s="574" t="s">
        <v>1603</v>
      </c>
      <c r="B18" s="577">
        <v>3302245</v>
      </c>
      <c r="C18" s="574">
        <f>_xlfn.XLOOKUP(B18,'[1]Blade-Export_15-08-2022_sources'!B:B,'[1]Blade-Export_15-08-2022_sources'!F:F,0,FALSE)</f>
        <v>330</v>
      </c>
      <c r="D18" s="574">
        <f>_xlfn.XLOOKUP($B18,'[1]Blade-Export_15-08-2022_sources'!$B:$B,'[1]Blade-Export_15-08-2022_sources'!G:G,0,FALSE)</f>
        <v>2245</v>
      </c>
      <c r="E18" s="574" t="str">
        <f>_xlfn.XLOOKUP($B18,'[1]Blade-Export_15-08-2022_sources'!$B:$B,'[1]Blade-Export_15-08-2022_sources'!H:H,0,FALSE)</f>
        <v>WELSH HOUSE FARM JI NC</v>
      </c>
      <c r="F18" s="578">
        <v>249765.47</v>
      </c>
      <c r="G18" s="578">
        <v>0</v>
      </c>
      <c r="H18" s="578">
        <v>26106.5</v>
      </c>
      <c r="I18" s="578">
        <v>1438639.97</v>
      </c>
      <c r="J18" s="578">
        <v>0</v>
      </c>
      <c r="K18" s="578">
        <v>92808.95</v>
      </c>
      <c r="L18" s="578">
        <v>0</v>
      </c>
      <c r="M18" s="578">
        <v>201750</v>
      </c>
      <c r="N18" s="578">
        <v>5377.97</v>
      </c>
      <c r="O18" s="578">
        <v>0</v>
      </c>
      <c r="P18" s="578">
        <v>0</v>
      </c>
      <c r="Q18" s="578">
        <v>269.62</v>
      </c>
      <c r="R18" s="578">
        <v>600</v>
      </c>
      <c r="S18" s="578">
        <v>0</v>
      </c>
      <c r="T18" s="578">
        <v>0</v>
      </c>
      <c r="U18" s="578">
        <v>0</v>
      </c>
      <c r="V18" s="578">
        <v>0</v>
      </c>
      <c r="W18" s="578"/>
      <c r="X18" s="578">
        <v>0</v>
      </c>
      <c r="Y18" s="578">
        <v>0</v>
      </c>
      <c r="Z18" s="578">
        <v>0</v>
      </c>
      <c r="AA18" s="578">
        <v>0</v>
      </c>
      <c r="AB18" s="578">
        <v>16753.34</v>
      </c>
      <c r="AC18" s="578">
        <v>7830</v>
      </c>
      <c r="AD18" s="578">
        <v>31067</v>
      </c>
      <c r="AE18" s="578">
        <v>660786.64</v>
      </c>
      <c r="AF18" s="578">
        <v>2757.94</v>
      </c>
      <c r="AG18" s="578">
        <v>324962.46000000002</v>
      </c>
      <c r="AH18" s="578">
        <v>21482.09</v>
      </c>
      <c r="AI18" s="578">
        <v>190090.41</v>
      </c>
      <c r="AJ18" s="578">
        <v>0</v>
      </c>
      <c r="AK18" s="578">
        <v>53616.54</v>
      </c>
      <c r="AL18" s="578">
        <v>2037.83</v>
      </c>
      <c r="AM18" s="578">
        <v>6715.6</v>
      </c>
      <c r="AN18" s="578">
        <v>0</v>
      </c>
      <c r="AO18" s="578">
        <v>0</v>
      </c>
      <c r="AP18" s="578">
        <v>53977.03</v>
      </c>
      <c r="AQ18" s="578">
        <v>3230</v>
      </c>
      <c r="AR18" s="578">
        <v>1939.96</v>
      </c>
      <c r="AS18" s="578">
        <v>6805.29</v>
      </c>
      <c r="AT18" s="578">
        <v>22808.67</v>
      </c>
      <c r="AU18" s="578">
        <v>18053.82</v>
      </c>
      <c r="AV18" s="578">
        <v>6817.93</v>
      </c>
      <c r="AW18" s="578">
        <v>64397.57</v>
      </c>
      <c r="AX18" s="578">
        <v>10187.84</v>
      </c>
      <c r="AY18" s="578">
        <v>0</v>
      </c>
      <c r="AZ18" s="578">
        <v>33897.67</v>
      </c>
      <c r="BA18" s="578">
        <v>4450</v>
      </c>
      <c r="BB18" s="578">
        <v>0</v>
      </c>
      <c r="BC18" s="578">
        <v>16182.62</v>
      </c>
      <c r="BD18" s="578">
        <v>106090.1</v>
      </c>
      <c r="BE18" s="578">
        <v>23166.63</v>
      </c>
      <c r="BF18" s="578">
        <v>217555.6</v>
      </c>
      <c r="BG18" s="578">
        <v>0</v>
      </c>
      <c r="BH18" s="578">
        <v>0</v>
      </c>
      <c r="BI18" s="578">
        <v>0</v>
      </c>
      <c r="BJ18" s="578">
        <v>0</v>
      </c>
      <c r="BK18" s="578">
        <v>0</v>
      </c>
      <c r="BL18" s="578">
        <v>6643.75</v>
      </c>
      <c r="BM18" s="578">
        <v>0</v>
      </c>
      <c r="BN18" s="578">
        <v>0</v>
      </c>
      <c r="BO18" s="578">
        <v>10000</v>
      </c>
      <c r="BP18" s="578">
        <v>0</v>
      </c>
      <c r="BQ18" s="578">
        <v>7236.38</v>
      </c>
      <c r="BR18" s="578">
        <v>0</v>
      </c>
      <c r="BS18" s="578">
        <v>0</v>
      </c>
      <c r="BT18" s="578">
        <v>0</v>
      </c>
      <c r="BU18" s="578">
        <v>192852.08</v>
      </c>
      <c r="BV18" s="578">
        <v>25513.87</v>
      </c>
      <c r="BW18" s="578">
        <v>0</v>
      </c>
      <c r="BX18" s="578">
        <v>0</v>
      </c>
      <c r="BY18" s="578">
        <v>0</v>
      </c>
      <c r="BZ18" s="578">
        <v>1795096.85</v>
      </c>
      <c r="CA18" s="578">
        <v>1852010.24</v>
      </c>
      <c r="CB18" s="578">
        <v>6643.75</v>
      </c>
      <c r="CC18" s="578">
        <v>7236.38</v>
      </c>
      <c r="CD18" s="578">
        <v>218365.95</v>
      </c>
    </row>
    <row r="19" spans="1:82" hidden="1" x14ac:dyDescent="0.3">
      <c r="A19" s="574" t="s">
        <v>1604</v>
      </c>
      <c r="B19" s="577">
        <v>3302308</v>
      </c>
      <c r="C19" s="574">
        <f>_xlfn.XLOOKUP(B19,'[1]Blade-Export_15-08-2022_sources'!B:B,'[1]Blade-Export_15-08-2022_sources'!F:F,0,FALSE)</f>
        <v>330</v>
      </c>
      <c r="D19" s="574">
        <f>_xlfn.XLOOKUP($B19,'[1]Blade-Export_15-08-2022_sources'!$B:$B,'[1]Blade-Export_15-08-2022_sources'!G:G,0,FALSE)</f>
        <v>2308</v>
      </c>
      <c r="E19" s="574" t="str">
        <f>_xlfn.XLOOKUP($B19,'[1]Blade-Export_15-08-2022_sources'!$B:$B,'[1]Blade-Export_15-08-2022_sources'!H:H,0,FALSE)</f>
        <v>WELFORD JI NC</v>
      </c>
      <c r="F19" s="578">
        <v>412368.07</v>
      </c>
      <c r="G19" s="578">
        <v>0</v>
      </c>
      <c r="H19" s="578">
        <v>0.11</v>
      </c>
      <c r="I19" s="578">
        <v>2109809.59</v>
      </c>
      <c r="J19" s="578">
        <v>0</v>
      </c>
      <c r="K19" s="578">
        <v>94212.71</v>
      </c>
      <c r="L19" s="578">
        <v>0</v>
      </c>
      <c r="M19" s="578">
        <v>269000</v>
      </c>
      <c r="N19" s="578">
        <v>6473.91</v>
      </c>
      <c r="O19" s="578">
        <v>0</v>
      </c>
      <c r="P19" s="578">
        <v>200353.21</v>
      </c>
      <c r="Q19" s="578">
        <v>0</v>
      </c>
      <c r="R19" s="578">
        <v>24825.07</v>
      </c>
      <c r="S19" s="578">
        <v>0</v>
      </c>
      <c r="T19" s="578">
        <v>0</v>
      </c>
      <c r="U19" s="578">
        <v>5164.74</v>
      </c>
      <c r="V19" s="578">
        <v>0</v>
      </c>
      <c r="W19" s="578"/>
      <c r="X19" s="578">
        <v>0</v>
      </c>
      <c r="Y19" s="578">
        <v>0</v>
      </c>
      <c r="Z19" s="578">
        <v>0</v>
      </c>
      <c r="AA19" s="578">
        <v>0</v>
      </c>
      <c r="AB19" s="578">
        <v>21156.41</v>
      </c>
      <c r="AC19" s="578">
        <v>13560</v>
      </c>
      <c r="AD19" s="578">
        <v>54667</v>
      </c>
      <c r="AE19" s="578">
        <v>1130642.9099999999</v>
      </c>
      <c r="AF19" s="578">
        <v>0</v>
      </c>
      <c r="AG19" s="578">
        <v>477449.24</v>
      </c>
      <c r="AH19" s="578">
        <v>101672.2</v>
      </c>
      <c r="AI19" s="578">
        <v>150033.20000000001</v>
      </c>
      <c r="AJ19" s="578">
        <v>80448.240000000005</v>
      </c>
      <c r="AK19" s="578">
        <v>182325.3</v>
      </c>
      <c r="AL19" s="578">
        <v>0</v>
      </c>
      <c r="AM19" s="578">
        <v>10073.61</v>
      </c>
      <c r="AN19" s="578">
        <v>987.79</v>
      </c>
      <c r="AO19" s="578">
        <v>0</v>
      </c>
      <c r="AP19" s="578">
        <v>6349.27</v>
      </c>
      <c r="AQ19" s="578">
        <v>2939.5</v>
      </c>
      <c r="AR19" s="578">
        <v>9545.93</v>
      </c>
      <c r="AS19" s="578">
        <v>7126.16</v>
      </c>
      <c r="AT19" s="578">
        <v>24718.89</v>
      </c>
      <c r="AU19" s="578">
        <v>34990.080000000002</v>
      </c>
      <c r="AV19" s="578">
        <v>13459.33</v>
      </c>
      <c r="AW19" s="578">
        <v>77298.98</v>
      </c>
      <c r="AX19" s="578">
        <v>25532.85</v>
      </c>
      <c r="AY19" s="578">
        <v>0</v>
      </c>
      <c r="AZ19" s="578">
        <v>21814.71</v>
      </c>
      <c r="BA19" s="578">
        <v>10396.23</v>
      </c>
      <c r="BB19" s="578">
        <v>0</v>
      </c>
      <c r="BC19" s="578">
        <v>51239</v>
      </c>
      <c r="BD19" s="578">
        <v>136054.94</v>
      </c>
      <c r="BE19" s="578">
        <v>31296.62</v>
      </c>
      <c r="BF19" s="578">
        <v>170295.87</v>
      </c>
      <c r="BG19" s="578">
        <v>0</v>
      </c>
      <c r="BH19" s="578">
        <v>287.56</v>
      </c>
      <c r="BI19" s="578">
        <v>0</v>
      </c>
      <c r="BJ19" s="578">
        <v>0</v>
      </c>
      <c r="BK19" s="578">
        <v>0</v>
      </c>
      <c r="BL19" s="578">
        <v>8839.75</v>
      </c>
      <c r="BM19" s="578">
        <v>0</v>
      </c>
      <c r="BN19" s="578">
        <v>0</v>
      </c>
      <c r="BO19" s="578">
        <v>10000</v>
      </c>
      <c r="BP19" s="578">
        <v>0</v>
      </c>
      <c r="BQ19" s="578">
        <v>0</v>
      </c>
      <c r="BR19" s="578">
        <v>0</v>
      </c>
      <c r="BS19" s="578">
        <v>0</v>
      </c>
      <c r="BT19" s="578">
        <v>0</v>
      </c>
      <c r="BU19" s="578">
        <v>454612.3</v>
      </c>
      <c r="BV19" s="578">
        <v>8839.86</v>
      </c>
      <c r="BW19" s="578">
        <v>0</v>
      </c>
      <c r="BX19" s="578">
        <v>0</v>
      </c>
      <c r="BY19" s="578">
        <v>0</v>
      </c>
      <c r="BZ19" s="578">
        <v>2799222.64</v>
      </c>
      <c r="CA19" s="578">
        <v>2756978.41</v>
      </c>
      <c r="CB19" s="578">
        <v>8839.75</v>
      </c>
      <c r="CC19" s="578">
        <v>0</v>
      </c>
      <c r="CD19" s="578">
        <v>463452.15999999997</v>
      </c>
    </row>
    <row r="20" spans="1:82" hidden="1" x14ac:dyDescent="0.3">
      <c r="A20" s="579" t="s">
        <v>1605</v>
      </c>
      <c r="B20" s="577">
        <v>3302482</v>
      </c>
      <c r="C20" s="574">
        <f>_xlfn.XLOOKUP(B20,'[1]Blade-Export_15-08-2022_sources'!B:B,'[1]Blade-Export_15-08-2022_sources'!F:F,0,FALSE)</f>
        <v>330</v>
      </c>
      <c r="D20" s="574">
        <f>_xlfn.XLOOKUP($B20,'[1]Blade-Export_15-08-2022_sources'!$B:$B,'[1]Blade-Export_15-08-2022_sources'!G:G,0,FALSE)</f>
        <v>2482</v>
      </c>
      <c r="E20" s="574" t="str">
        <f>_xlfn.XLOOKUP($B20,'[1]Blade-Export_15-08-2022_sources'!$B:$B,'[1]Blade-Export_15-08-2022_sources'!H:H,0,FALSE)</f>
        <v>WATTVILLE JI NC</v>
      </c>
      <c r="F20" s="578">
        <v>269351.36</v>
      </c>
      <c r="G20" s="578">
        <v>0</v>
      </c>
      <c r="H20" s="578">
        <v>26616.15</v>
      </c>
      <c r="I20" s="578">
        <v>2155416.0699999998</v>
      </c>
      <c r="J20" s="578">
        <v>0</v>
      </c>
      <c r="K20" s="578">
        <v>10533.22</v>
      </c>
      <c r="L20" s="578">
        <v>0</v>
      </c>
      <c r="M20" s="578">
        <v>252860</v>
      </c>
      <c r="N20" s="578">
        <v>5610.94</v>
      </c>
      <c r="O20" s="578">
        <v>0</v>
      </c>
      <c r="P20" s="578">
        <v>0</v>
      </c>
      <c r="Q20" s="578">
        <v>162.72</v>
      </c>
      <c r="R20" s="578">
        <v>0</v>
      </c>
      <c r="S20" s="578">
        <v>0</v>
      </c>
      <c r="T20" s="578">
        <v>0</v>
      </c>
      <c r="U20" s="578">
        <v>0</v>
      </c>
      <c r="V20" s="578">
        <v>0</v>
      </c>
      <c r="W20" s="578"/>
      <c r="X20" s="578">
        <v>0</v>
      </c>
      <c r="Y20" s="578">
        <v>0</v>
      </c>
      <c r="Z20" s="578">
        <v>0</v>
      </c>
      <c r="AA20" s="578">
        <v>0</v>
      </c>
      <c r="AB20" s="578">
        <v>19477.189999999999</v>
      </c>
      <c r="AC20" s="578">
        <v>13360</v>
      </c>
      <c r="AD20" s="578">
        <v>52352</v>
      </c>
      <c r="AE20" s="578">
        <v>1101312.02</v>
      </c>
      <c r="AF20" s="578">
        <v>0</v>
      </c>
      <c r="AG20" s="578">
        <v>642599.17000000004</v>
      </c>
      <c r="AH20" s="578">
        <v>83136.17</v>
      </c>
      <c r="AI20" s="578">
        <v>281101.61</v>
      </c>
      <c r="AJ20" s="578">
        <v>455.26</v>
      </c>
      <c r="AK20" s="578">
        <v>67200.59</v>
      </c>
      <c r="AL20" s="578">
        <v>2087.6999999999998</v>
      </c>
      <c r="AM20" s="578">
        <v>255</v>
      </c>
      <c r="AN20" s="578">
        <v>0</v>
      </c>
      <c r="AO20" s="578">
        <v>0</v>
      </c>
      <c r="AP20" s="578">
        <v>70588.009999999995</v>
      </c>
      <c r="AQ20" s="578">
        <v>758.42</v>
      </c>
      <c r="AR20" s="578">
        <v>1991.81</v>
      </c>
      <c r="AS20" s="578">
        <v>3866.91</v>
      </c>
      <c r="AT20" s="578">
        <v>37667.33</v>
      </c>
      <c r="AU20" s="578">
        <v>30359.040000000001</v>
      </c>
      <c r="AV20" s="578">
        <v>8050.78</v>
      </c>
      <c r="AW20" s="578">
        <v>35792.550000000003</v>
      </c>
      <c r="AX20" s="578">
        <v>31153.89</v>
      </c>
      <c r="AY20" s="578">
        <v>0</v>
      </c>
      <c r="AZ20" s="578">
        <v>32833.910000000003</v>
      </c>
      <c r="BA20" s="578">
        <v>8200</v>
      </c>
      <c r="BB20" s="578">
        <v>0</v>
      </c>
      <c r="BC20" s="578">
        <v>14622.78</v>
      </c>
      <c r="BD20" s="578">
        <v>24172.43</v>
      </c>
      <c r="BE20" s="578">
        <v>1006.75</v>
      </c>
      <c r="BF20" s="578">
        <v>183522.86</v>
      </c>
      <c r="BG20" s="578">
        <v>0</v>
      </c>
      <c r="BH20" s="578">
        <v>0</v>
      </c>
      <c r="BI20" s="578">
        <v>0</v>
      </c>
      <c r="BJ20" s="578">
        <v>0</v>
      </c>
      <c r="BK20" s="578">
        <v>0</v>
      </c>
      <c r="BL20" s="578">
        <v>9159.25</v>
      </c>
      <c r="BM20" s="578">
        <v>0</v>
      </c>
      <c r="BN20" s="578">
        <v>0</v>
      </c>
      <c r="BO20" s="578">
        <v>10000</v>
      </c>
      <c r="BP20" s="578">
        <v>0</v>
      </c>
      <c r="BQ20" s="578">
        <v>0</v>
      </c>
      <c r="BR20" s="578">
        <v>0</v>
      </c>
      <c r="BS20" s="578">
        <v>0</v>
      </c>
      <c r="BT20" s="578">
        <v>0</v>
      </c>
      <c r="BU20" s="578">
        <v>116388.5</v>
      </c>
      <c r="BV20" s="578">
        <v>35775.4</v>
      </c>
      <c r="BW20" s="578">
        <v>0</v>
      </c>
      <c r="BX20" s="578">
        <v>0</v>
      </c>
      <c r="BY20" s="578">
        <v>0</v>
      </c>
      <c r="BZ20" s="578">
        <v>2509772.14</v>
      </c>
      <c r="CA20" s="578">
        <v>2662734.9900000002</v>
      </c>
      <c r="CB20" s="578">
        <v>9159.25</v>
      </c>
      <c r="CC20" s="578">
        <v>0</v>
      </c>
      <c r="CD20" s="578">
        <v>152163.9</v>
      </c>
    </row>
    <row r="21" spans="1:82" hidden="1" x14ac:dyDescent="0.3">
      <c r="A21" s="574" t="s">
        <v>1606</v>
      </c>
      <c r="B21" s="577">
        <v>3302306</v>
      </c>
      <c r="C21" s="574">
        <f>_xlfn.XLOOKUP(B21,'[1]Blade-Export_15-08-2022_sources'!B:B,'[1]Blade-Export_15-08-2022_sources'!F:F,0,FALSE)</f>
        <v>330</v>
      </c>
      <c r="D21" s="574">
        <f>_xlfn.XLOOKUP($B21,'[1]Blade-Export_15-08-2022_sources'!$B:$B,'[1]Blade-Export_15-08-2022_sources'!G:G,0,FALSE)</f>
        <v>2306</v>
      </c>
      <c r="E21" s="574" t="str">
        <f>_xlfn.XLOOKUP($B21,'[1]Blade-Export_15-08-2022_sources'!$B:$B,'[1]Blade-Export_15-08-2022_sources'!H:H,0,FALSE)</f>
        <v xml:space="preserve">WATERMILL JI </v>
      </c>
      <c r="F21" s="578">
        <v>255186.25</v>
      </c>
      <c r="G21" s="578">
        <v>0</v>
      </c>
      <c r="H21" s="578">
        <v>21003.53</v>
      </c>
      <c r="I21" s="578">
        <v>984472.2</v>
      </c>
      <c r="J21" s="578">
        <v>0</v>
      </c>
      <c r="K21" s="578">
        <v>35245.699999999997</v>
      </c>
      <c r="L21" s="578">
        <v>0</v>
      </c>
      <c r="M21" s="578">
        <v>112980</v>
      </c>
      <c r="N21" s="578">
        <v>2775.94</v>
      </c>
      <c r="O21" s="578">
        <v>0</v>
      </c>
      <c r="P21" s="578">
        <v>28933.79</v>
      </c>
      <c r="Q21" s="578">
        <v>357.26</v>
      </c>
      <c r="R21" s="578">
        <v>0</v>
      </c>
      <c r="S21" s="578">
        <v>0</v>
      </c>
      <c r="T21" s="578">
        <v>0</v>
      </c>
      <c r="U21" s="578">
        <v>5019.5</v>
      </c>
      <c r="V21" s="578">
        <v>0</v>
      </c>
      <c r="W21" s="578"/>
      <c r="X21" s="578">
        <v>0</v>
      </c>
      <c r="Y21" s="578">
        <v>0</v>
      </c>
      <c r="Z21" s="578">
        <v>0</v>
      </c>
      <c r="AA21" s="578">
        <v>0</v>
      </c>
      <c r="AB21" s="578">
        <v>8865.94</v>
      </c>
      <c r="AC21" s="578">
        <v>6230</v>
      </c>
      <c r="AD21" s="578">
        <v>31408</v>
      </c>
      <c r="AE21" s="578">
        <v>568728.01</v>
      </c>
      <c r="AF21" s="578">
        <v>3934.89</v>
      </c>
      <c r="AG21" s="578">
        <v>225341.28</v>
      </c>
      <c r="AH21" s="578">
        <v>9007.74</v>
      </c>
      <c r="AI21" s="578">
        <v>78916.31</v>
      </c>
      <c r="AJ21" s="578">
        <v>0</v>
      </c>
      <c r="AK21" s="578">
        <v>39910.1</v>
      </c>
      <c r="AL21" s="578">
        <v>1289.17</v>
      </c>
      <c r="AM21" s="578">
        <v>625</v>
      </c>
      <c r="AN21" s="578">
        <v>0</v>
      </c>
      <c r="AO21" s="578">
        <v>0</v>
      </c>
      <c r="AP21" s="578">
        <v>21327.96</v>
      </c>
      <c r="AQ21" s="578">
        <v>690</v>
      </c>
      <c r="AR21" s="578">
        <v>788.24</v>
      </c>
      <c r="AS21" s="578">
        <v>3414.28</v>
      </c>
      <c r="AT21" s="578">
        <v>13815.36</v>
      </c>
      <c r="AU21" s="578">
        <v>19307.560000000001</v>
      </c>
      <c r="AV21" s="578">
        <v>12805.5</v>
      </c>
      <c r="AW21" s="578">
        <v>35604.32</v>
      </c>
      <c r="AX21" s="578">
        <v>6147.02</v>
      </c>
      <c r="AY21" s="578">
        <v>0</v>
      </c>
      <c r="AZ21" s="578">
        <v>25344.71</v>
      </c>
      <c r="BA21" s="578">
        <v>4646</v>
      </c>
      <c r="BB21" s="578">
        <v>0</v>
      </c>
      <c r="BC21" s="578">
        <v>38155.269999999997</v>
      </c>
      <c r="BD21" s="578">
        <v>9443.86</v>
      </c>
      <c r="BE21" s="578">
        <v>1336.29</v>
      </c>
      <c r="BF21" s="578">
        <v>60154.36</v>
      </c>
      <c r="BG21" s="578">
        <v>0</v>
      </c>
      <c r="BH21" s="578">
        <v>0</v>
      </c>
      <c r="BI21" s="578">
        <v>1660.66</v>
      </c>
      <c r="BJ21" s="578">
        <v>0</v>
      </c>
      <c r="BK21" s="578">
        <v>0</v>
      </c>
      <c r="BL21" s="578">
        <v>6238.75</v>
      </c>
      <c r="BM21" s="578">
        <v>0</v>
      </c>
      <c r="BN21" s="578">
        <v>0</v>
      </c>
      <c r="BO21" s="578">
        <v>10000</v>
      </c>
      <c r="BP21" s="578">
        <v>0</v>
      </c>
      <c r="BQ21" s="578">
        <v>3945</v>
      </c>
      <c r="BR21" s="578">
        <v>0</v>
      </c>
      <c r="BS21" s="578">
        <v>0</v>
      </c>
      <c r="BT21" s="578">
        <v>0</v>
      </c>
      <c r="BU21" s="578">
        <v>289080.68</v>
      </c>
      <c r="BV21" s="578">
        <v>23297.279999999999</v>
      </c>
      <c r="BW21" s="578">
        <v>0</v>
      </c>
      <c r="BX21" s="578">
        <v>0</v>
      </c>
      <c r="BY21" s="578">
        <v>0</v>
      </c>
      <c r="BZ21" s="578">
        <v>1216288.33</v>
      </c>
      <c r="CA21" s="578">
        <v>1182393.8899999999</v>
      </c>
      <c r="CB21" s="578">
        <v>6238.75</v>
      </c>
      <c r="CC21" s="578">
        <v>3945</v>
      </c>
      <c r="CD21" s="578">
        <v>312377.96000000002</v>
      </c>
    </row>
    <row r="22" spans="1:82" hidden="1" x14ac:dyDescent="0.3">
      <c r="A22" s="574" t="s">
        <v>1607</v>
      </c>
      <c r="B22" s="577">
        <v>3301019</v>
      </c>
      <c r="C22" s="574">
        <f>_xlfn.XLOOKUP(B22,'[1]Blade-Export_15-08-2022_sources'!B:B,'[1]Blade-Export_15-08-2022_sources'!F:F,0,FALSE)</f>
        <v>330</v>
      </c>
      <c r="D22" s="574">
        <f>_xlfn.XLOOKUP($B22,'[1]Blade-Export_15-08-2022_sources'!$B:$B,'[1]Blade-Export_15-08-2022_sources'!G:G,0,FALSE)</f>
        <v>1019</v>
      </c>
      <c r="E22" s="574" t="str">
        <f>_xlfn.XLOOKUP($B22,'[1]Blade-Export_15-08-2022_sources'!$B:$B,'[1]Blade-Export_15-08-2022_sources'!H:H,0,FALSE)</f>
        <v>WASHWOOD HEATH Nurs</v>
      </c>
      <c r="F22" s="578">
        <v>-199546.44</v>
      </c>
      <c r="G22" s="578">
        <v>0</v>
      </c>
      <c r="H22" s="578">
        <v>24265.64</v>
      </c>
      <c r="I22" s="578">
        <v>672433.44</v>
      </c>
      <c r="J22" s="578">
        <v>0</v>
      </c>
      <c r="K22" s="578">
        <v>1518.33</v>
      </c>
      <c r="L22" s="578">
        <v>0</v>
      </c>
      <c r="M22" s="578">
        <v>0</v>
      </c>
      <c r="N22" s="578">
        <v>0</v>
      </c>
      <c r="O22" s="578">
        <v>0</v>
      </c>
      <c r="P22" s="578">
        <v>0</v>
      </c>
      <c r="Q22" s="578">
        <v>0</v>
      </c>
      <c r="R22" s="578">
        <v>0</v>
      </c>
      <c r="S22" s="578">
        <v>0</v>
      </c>
      <c r="T22" s="578">
        <v>0</v>
      </c>
      <c r="U22" s="578">
        <v>47074.34</v>
      </c>
      <c r="V22" s="578">
        <v>0</v>
      </c>
      <c r="W22" s="578"/>
      <c r="X22" s="578">
        <v>0</v>
      </c>
      <c r="Y22" s="578">
        <v>0</v>
      </c>
      <c r="Z22" s="578">
        <v>0</v>
      </c>
      <c r="AA22" s="578">
        <v>0</v>
      </c>
      <c r="AB22" s="578">
        <v>0</v>
      </c>
      <c r="AC22" s="578">
        <v>0</v>
      </c>
      <c r="AD22" s="578">
        <v>0</v>
      </c>
      <c r="AE22" s="578">
        <v>264375</v>
      </c>
      <c r="AF22" s="578">
        <v>0</v>
      </c>
      <c r="AG22" s="578">
        <v>214470.93</v>
      </c>
      <c r="AH22" s="578">
        <v>0</v>
      </c>
      <c r="AI22" s="578">
        <v>158249.96</v>
      </c>
      <c r="AJ22" s="578">
        <v>0</v>
      </c>
      <c r="AK22" s="578">
        <v>24676.93</v>
      </c>
      <c r="AL22" s="578">
        <v>965.7</v>
      </c>
      <c r="AM22" s="578">
        <v>4013.89</v>
      </c>
      <c r="AN22" s="578">
        <v>0</v>
      </c>
      <c r="AO22" s="578">
        <v>0</v>
      </c>
      <c r="AP22" s="578">
        <v>88584.12</v>
      </c>
      <c r="AQ22" s="578">
        <v>0</v>
      </c>
      <c r="AR22" s="578">
        <v>15087.22</v>
      </c>
      <c r="AS22" s="578">
        <v>936.22</v>
      </c>
      <c r="AT22" s="578">
        <v>19898.89</v>
      </c>
      <c r="AU22" s="578">
        <v>10104.75</v>
      </c>
      <c r="AV22" s="578">
        <v>17907.330000000002</v>
      </c>
      <c r="AW22" s="578">
        <v>12848.35</v>
      </c>
      <c r="AX22" s="578">
        <v>3139.73</v>
      </c>
      <c r="AY22" s="578">
        <v>120</v>
      </c>
      <c r="AZ22" s="578">
        <v>8104.56</v>
      </c>
      <c r="BA22" s="578">
        <v>4418.68</v>
      </c>
      <c r="BB22" s="578">
        <v>0</v>
      </c>
      <c r="BC22" s="578">
        <v>10056.58</v>
      </c>
      <c r="BD22" s="578">
        <v>35047.89</v>
      </c>
      <c r="BE22" s="578">
        <v>995</v>
      </c>
      <c r="BF22" s="578">
        <v>83571.929999999993</v>
      </c>
      <c r="BG22" s="578">
        <v>0</v>
      </c>
      <c r="BH22" s="578">
        <v>0</v>
      </c>
      <c r="BI22" s="578">
        <v>0</v>
      </c>
      <c r="BJ22" s="578">
        <v>0</v>
      </c>
      <c r="BK22" s="578">
        <v>0</v>
      </c>
      <c r="BL22" s="578">
        <v>5404</v>
      </c>
      <c r="BM22" s="578">
        <v>0</v>
      </c>
      <c r="BN22" s="578">
        <v>0</v>
      </c>
      <c r="BO22" s="578">
        <v>10000</v>
      </c>
      <c r="BP22" s="578">
        <v>0</v>
      </c>
      <c r="BQ22" s="578">
        <v>0</v>
      </c>
      <c r="BR22" s="578">
        <v>0</v>
      </c>
      <c r="BS22" s="578">
        <v>0</v>
      </c>
      <c r="BT22" s="578">
        <v>0</v>
      </c>
      <c r="BU22" s="578">
        <v>-456093.98</v>
      </c>
      <c r="BV22" s="578">
        <v>29669.64</v>
      </c>
      <c r="BW22" s="578">
        <v>0</v>
      </c>
      <c r="BX22" s="578">
        <v>0</v>
      </c>
      <c r="BY22" s="578">
        <v>0</v>
      </c>
      <c r="BZ22" s="578">
        <v>721026.11</v>
      </c>
      <c r="CA22" s="578">
        <v>977573.66</v>
      </c>
      <c r="CB22" s="578">
        <v>5404</v>
      </c>
      <c r="CC22" s="578">
        <v>0</v>
      </c>
      <c r="CD22" s="578">
        <v>-426424.34</v>
      </c>
    </row>
    <row r="23" spans="1:82" hidden="1" x14ac:dyDescent="0.3">
      <c r="A23" s="574" t="s">
        <v>1608</v>
      </c>
      <c r="B23" s="577">
        <v>3302108</v>
      </c>
      <c r="C23" s="574">
        <f>_xlfn.XLOOKUP(B23,'[1]Blade-Export_15-08-2022_sources'!B:B,'[1]Blade-Export_15-08-2022_sources'!F:F,0,FALSE)</f>
        <v>330</v>
      </c>
      <c r="D23" s="574">
        <f>_xlfn.XLOOKUP($B23,'[1]Blade-Export_15-08-2022_sources'!$B:$B,'[1]Blade-Export_15-08-2022_sources'!G:G,0,FALSE)</f>
        <v>2108</v>
      </c>
      <c r="E23" s="574" t="str">
        <f>_xlfn.XLOOKUP($B23,'[1]Blade-Export_15-08-2022_sources'!$B:$B,'[1]Blade-Export_15-08-2022_sources'!H:H,0,FALSE)</f>
        <v>WARD END JI NC</v>
      </c>
      <c r="F23" s="578">
        <v>870588.77</v>
      </c>
      <c r="G23" s="578">
        <v>0</v>
      </c>
      <c r="H23" s="578">
        <v>98713.18</v>
      </c>
      <c r="I23" s="578">
        <v>4110146.3</v>
      </c>
      <c r="J23" s="578">
        <v>0</v>
      </c>
      <c r="K23" s="578">
        <v>109364.79</v>
      </c>
      <c r="L23" s="578">
        <v>0</v>
      </c>
      <c r="M23" s="578">
        <v>454610</v>
      </c>
      <c r="N23" s="578">
        <v>11044.69</v>
      </c>
      <c r="O23" s="578">
        <v>0</v>
      </c>
      <c r="P23" s="578">
        <v>214484.38</v>
      </c>
      <c r="Q23" s="578">
        <v>1218.82</v>
      </c>
      <c r="R23" s="578">
        <v>0</v>
      </c>
      <c r="S23" s="578">
        <v>0</v>
      </c>
      <c r="T23" s="578">
        <v>0</v>
      </c>
      <c r="U23" s="578">
        <v>700</v>
      </c>
      <c r="V23" s="578">
        <v>0</v>
      </c>
      <c r="W23" s="578"/>
      <c r="X23" s="578">
        <v>0</v>
      </c>
      <c r="Y23" s="578">
        <v>0</v>
      </c>
      <c r="Z23" s="578">
        <v>0</v>
      </c>
      <c r="AA23" s="578">
        <v>0</v>
      </c>
      <c r="AB23" s="578">
        <v>35549.69</v>
      </c>
      <c r="AC23" s="578">
        <v>28030</v>
      </c>
      <c r="AD23" s="578">
        <v>120623</v>
      </c>
      <c r="AE23" s="578">
        <v>2050906.68</v>
      </c>
      <c r="AF23" s="578">
        <v>0</v>
      </c>
      <c r="AG23" s="578">
        <v>625016.42000000004</v>
      </c>
      <c r="AH23" s="578">
        <v>118631.89</v>
      </c>
      <c r="AI23" s="578">
        <v>474684.02</v>
      </c>
      <c r="AJ23" s="578">
        <v>0</v>
      </c>
      <c r="AK23" s="578">
        <v>185172.04</v>
      </c>
      <c r="AL23" s="578">
        <v>2728.5</v>
      </c>
      <c r="AM23" s="578">
        <v>14204.81</v>
      </c>
      <c r="AN23" s="578">
        <v>0</v>
      </c>
      <c r="AO23" s="578">
        <v>0</v>
      </c>
      <c r="AP23" s="578">
        <v>72965.17</v>
      </c>
      <c r="AQ23" s="578">
        <v>7179</v>
      </c>
      <c r="AR23" s="578">
        <v>8567.68</v>
      </c>
      <c r="AS23" s="578">
        <v>2504.4</v>
      </c>
      <c r="AT23" s="578">
        <v>45145.94</v>
      </c>
      <c r="AU23" s="578">
        <v>68436.479999999996</v>
      </c>
      <c r="AV23" s="578">
        <v>28799.42</v>
      </c>
      <c r="AW23" s="578">
        <v>114493.24</v>
      </c>
      <c r="AX23" s="578">
        <v>60149.16</v>
      </c>
      <c r="AY23" s="578">
        <v>0</v>
      </c>
      <c r="AZ23" s="578">
        <v>71445.91</v>
      </c>
      <c r="BA23" s="578">
        <v>21050</v>
      </c>
      <c r="BB23" s="578">
        <v>0</v>
      </c>
      <c r="BC23" s="578">
        <v>31190.59</v>
      </c>
      <c r="BD23" s="578">
        <v>295230.37</v>
      </c>
      <c r="BE23" s="578">
        <v>1352.63</v>
      </c>
      <c r="BF23" s="578">
        <v>606892.65</v>
      </c>
      <c r="BG23" s="578">
        <v>0</v>
      </c>
      <c r="BH23" s="578">
        <v>0</v>
      </c>
      <c r="BI23" s="578">
        <v>15726.3</v>
      </c>
      <c r="BJ23" s="578">
        <v>0</v>
      </c>
      <c r="BK23" s="578">
        <v>0</v>
      </c>
      <c r="BL23" s="578">
        <v>14199.25</v>
      </c>
      <c r="BM23" s="578">
        <v>0</v>
      </c>
      <c r="BN23" s="578">
        <v>0</v>
      </c>
      <c r="BO23" s="578">
        <v>10000</v>
      </c>
      <c r="BP23" s="578">
        <v>0</v>
      </c>
      <c r="BQ23" s="578">
        <v>9321</v>
      </c>
      <c r="BR23" s="578">
        <v>0</v>
      </c>
      <c r="BS23" s="578">
        <v>0</v>
      </c>
      <c r="BT23" s="578">
        <v>0</v>
      </c>
      <c r="BU23" s="578">
        <v>1033887.13</v>
      </c>
      <c r="BV23" s="578">
        <v>103591.43</v>
      </c>
      <c r="BW23" s="578">
        <v>0</v>
      </c>
      <c r="BX23" s="578">
        <v>0</v>
      </c>
      <c r="BY23" s="578">
        <v>0</v>
      </c>
      <c r="BZ23" s="578">
        <v>5085771.67</v>
      </c>
      <c r="CA23" s="578">
        <v>4922473.3</v>
      </c>
      <c r="CB23" s="578">
        <v>14199.25</v>
      </c>
      <c r="CC23" s="578">
        <v>9321</v>
      </c>
      <c r="CD23" s="578">
        <v>1137478.56</v>
      </c>
    </row>
    <row r="24" spans="1:82" hidden="1" x14ac:dyDescent="0.3">
      <c r="A24" s="574" t="s">
        <v>1609</v>
      </c>
      <c r="B24" s="577">
        <v>3305202</v>
      </c>
      <c r="C24" s="574">
        <f>_xlfn.XLOOKUP(B24,'[1]Blade-Export_15-08-2022_sources'!B:B,'[1]Blade-Export_15-08-2022_sources'!F:F,0,FALSE)</f>
        <v>330</v>
      </c>
      <c r="D24" s="574">
        <f>_xlfn.XLOOKUP($B24,'[1]Blade-Export_15-08-2022_sources'!$B:$B,'[1]Blade-Export_15-08-2022_sources'!G:G,0,FALSE)</f>
        <v>5202</v>
      </c>
      <c r="E24" s="574" t="str">
        <f>_xlfn.XLOOKUP($B24,'[1]Blade-Export_15-08-2022_sources'!$B:$B,'[1]Blade-Export_15-08-2022_sources'!H:H,0,FALSE)</f>
        <v xml:space="preserve">WALMLEY J </v>
      </c>
      <c r="F24" s="578">
        <v>253751.45</v>
      </c>
      <c r="G24" s="578">
        <v>0</v>
      </c>
      <c r="H24" s="578">
        <v>24127.55</v>
      </c>
      <c r="I24" s="578">
        <v>1502935.06</v>
      </c>
      <c r="J24" s="578">
        <v>0</v>
      </c>
      <c r="K24" s="578">
        <v>62883.45</v>
      </c>
      <c r="L24" s="578">
        <v>0</v>
      </c>
      <c r="M24" s="578">
        <v>46040</v>
      </c>
      <c r="N24" s="578">
        <v>1122.19</v>
      </c>
      <c r="O24" s="578">
        <v>0</v>
      </c>
      <c r="P24" s="578">
        <v>114442.25</v>
      </c>
      <c r="Q24" s="578">
        <v>0</v>
      </c>
      <c r="R24" s="578">
        <v>88513.43</v>
      </c>
      <c r="S24" s="578">
        <v>0</v>
      </c>
      <c r="T24" s="578">
        <v>0</v>
      </c>
      <c r="U24" s="578">
        <v>55967.62</v>
      </c>
      <c r="V24" s="578">
        <v>0</v>
      </c>
      <c r="W24" s="578"/>
      <c r="X24" s="578">
        <v>0</v>
      </c>
      <c r="Y24" s="578">
        <v>0</v>
      </c>
      <c r="Z24" s="578">
        <v>0</v>
      </c>
      <c r="AA24" s="578">
        <v>0</v>
      </c>
      <c r="AB24" s="578">
        <v>3442.19</v>
      </c>
      <c r="AC24" s="578">
        <v>12000</v>
      </c>
      <c r="AD24" s="578">
        <v>22845</v>
      </c>
      <c r="AE24" s="578">
        <v>956116.65</v>
      </c>
      <c r="AF24" s="578">
        <v>637.02</v>
      </c>
      <c r="AG24" s="578">
        <v>192616.61</v>
      </c>
      <c r="AH24" s="578">
        <v>42291.03</v>
      </c>
      <c r="AI24" s="578">
        <v>107642.71</v>
      </c>
      <c r="AJ24" s="578">
        <v>84309.95</v>
      </c>
      <c r="AK24" s="578">
        <v>88775.58</v>
      </c>
      <c r="AL24" s="578">
        <v>17670.240000000002</v>
      </c>
      <c r="AM24" s="578">
        <v>5681.53</v>
      </c>
      <c r="AN24" s="578">
        <v>0</v>
      </c>
      <c r="AO24" s="578">
        <v>0</v>
      </c>
      <c r="AP24" s="578">
        <v>23699.32</v>
      </c>
      <c r="AQ24" s="578">
        <v>11782.73</v>
      </c>
      <c r="AR24" s="578">
        <v>39827.660000000003</v>
      </c>
      <c r="AS24" s="578">
        <v>3555.52</v>
      </c>
      <c r="AT24" s="578">
        <v>22645.16</v>
      </c>
      <c r="AU24" s="578">
        <v>6483.46</v>
      </c>
      <c r="AV24" s="578">
        <v>4843.12</v>
      </c>
      <c r="AW24" s="578">
        <v>90492.56</v>
      </c>
      <c r="AX24" s="578">
        <v>15329.31</v>
      </c>
      <c r="AY24" s="578">
        <v>0</v>
      </c>
      <c r="AZ24" s="578">
        <v>13073.81</v>
      </c>
      <c r="BA24" s="578">
        <v>8590.7199999999993</v>
      </c>
      <c r="BB24" s="578">
        <v>0</v>
      </c>
      <c r="BC24" s="578">
        <v>37771.18</v>
      </c>
      <c r="BD24" s="578">
        <v>56489.23</v>
      </c>
      <c r="BE24" s="578">
        <v>16580.650000000001</v>
      </c>
      <c r="BF24" s="578">
        <v>58393.73</v>
      </c>
      <c r="BG24" s="578">
        <v>0</v>
      </c>
      <c r="BH24" s="578">
        <v>191.18</v>
      </c>
      <c r="BI24" s="578">
        <v>9960</v>
      </c>
      <c r="BJ24" s="578">
        <v>0</v>
      </c>
      <c r="BK24" s="578">
        <v>0</v>
      </c>
      <c r="BL24" s="578">
        <v>8038.75</v>
      </c>
      <c r="BM24" s="578">
        <v>0</v>
      </c>
      <c r="BN24" s="578">
        <v>0</v>
      </c>
      <c r="BO24" s="578">
        <v>10000</v>
      </c>
      <c r="BP24" s="578">
        <v>0</v>
      </c>
      <c r="BQ24" s="578">
        <v>0</v>
      </c>
      <c r="BR24" s="578">
        <v>0</v>
      </c>
      <c r="BS24" s="578">
        <v>0</v>
      </c>
      <c r="BT24" s="578">
        <v>0</v>
      </c>
      <c r="BU24" s="578">
        <v>248491.97</v>
      </c>
      <c r="BV24" s="578">
        <v>32166.3</v>
      </c>
      <c r="BW24" s="578">
        <v>0</v>
      </c>
      <c r="BX24" s="578">
        <v>0</v>
      </c>
      <c r="BY24" s="578">
        <v>0</v>
      </c>
      <c r="BZ24" s="578">
        <v>1910191.19</v>
      </c>
      <c r="CA24" s="578">
        <v>1915450.66</v>
      </c>
      <c r="CB24" s="578">
        <v>8038.75</v>
      </c>
      <c r="CC24" s="578">
        <v>0</v>
      </c>
      <c r="CD24" s="578">
        <v>280658.27</v>
      </c>
    </row>
    <row r="25" spans="1:82" hidden="1" x14ac:dyDescent="0.3">
      <c r="A25" s="574" t="s">
        <v>1610</v>
      </c>
      <c r="B25" s="577">
        <v>3305203</v>
      </c>
      <c r="C25" s="574">
        <f>_xlfn.XLOOKUP(B25,'[1]Blade-Export_15-08-2022_sources'!B:B,'[1]Blade-Export_15-08-2022_sources'!F:F,0,FALSE)</f>
        <v>330</v>
      </c>
      <c r="D25" s="574">
        <f>_xlfn.XLOOKUP($B25,'[1]Blade-Export_15-08-2022_sources'!$B:$B,'[1]Blade-Export_15-08-2022_sources'!G:G,0,FALSE)</f>
        <v>5203</v>
      </c>
      <c r="E25" s="574" t="str">
        <f>_xlfn.XLOOKUP($B25,'[1]Blade-Export_15-08-2022_sources'!$B:$B,'[1]Blade-Export_15-08-2022_sources'!H:H,0,FALSE)</f>
        <v>WALMLEY I NC</v>
      </c>
      <c r="F25" s="578">
        <v>77225.94</v>
      </c>
      <c r="G25" s="578">
        <v>0</v>
      </c>
      <c r="H25" s="578">
        <v>7.0000000000000007E-2</v>
      </c>
      <c r="I25" s="578">
        <v>1423625.71</v>
      </c>
      <c r="J25" s="578">
        <v>0</v>
      </c>
      <c r="K25" s="578">
        <v>31766.82</v>
      </c>
      <c r="L25" s="578">
        <v>0</v>
      </c>
      <c r="M25" s="578">
        <v>38970</v>
      </c>
      <c r="N25" s="578">
        <v>649.69000000000005</v>
      </c>
      <c r="O25" s="578">
        <v>0</v>
      </c>
      <c r="P25" s="578">
        <v>90763.5</v>
      </c>
      <c r="Q25" s="578">
        <v>0</v>
      </c>
      <c r="R25" s="578">
        <v>17444.099999999999</v>
      </c>
      <c r="S25" s="578">
        <v>0</v>
      </c>
      <c r="T25" s="578">
        <v>0</v>
      </c>
      <c r="U25" s="578">
        <v>6933.8</v>
      </c>
      <c r="V25" s="578">
        <v>0</v>
      </c>
      <c r="W25" s="578"/>
      <c r="X25" s="578">
        <v>0</v>
      </c>
      <c r="Y25" s="578">
        <v>0</v>
      </c>
      <c r="Z25" s="578">
        <v>0</v>
      </c>
      <c r="AA25" s="578">
        <v>0</v>
      </c>
      <c r="AB25" s="578">
        <v>2534.69</v>
      </c>
      <c r="AC25" s="578">
        <v>9000</v>
      </c>
      <c r="AD25" s="578">
        <v>115126</v>
      </c>
      <c r="AE25" s="578">
        <v>775233.15</v>
      </c>
      <c r="AF25" s="578">
        <v>9016.99</v>
      </c>
      <c r="AG25" s="578">
        <v>272560.93</v>
      </c>
      <c r="AH25" s="578">
        <v>20698.68</v>
      </c>
      <c r="AI25" s="578">
        <v>62824.41</v>
      </c>
      <c r="AJ25" s="578">
        <v>76929.34</v>
      </c>
      <c r="AK25" s="578">
        <v>123210.89</v>
      </c>
      <c r="AL25" s="578">
        <v>1210.8</v>
      </c>
      <c r="AM25" s="578">
        <v>1375</v>
      </c>
      <c r="AN25" s="578">
        <v>0</v>
      </c>
      <c r="AO25" s="578">
        <v>0</v>
      </c>
      <c r="AP25" s="578">
        <v>28805.119999999999</v>
      </c>
      <c r="AQ25" s="578">
        <v>4424.8</v>
      </c>
      <c r="AR25" s="578">
        <v>41972.78</v>
      </c>
      <c r="AS25" s="578">
        <v>2929.42</v>
      </c>
      <c r="AT25" s="578">
        <v>16735.03</v>
      </c>
      <c r="AU25" s="578">
        <v>4090.75</v>
      </c>
      <c r="AV25" s="578">
        <v>9135</v>
      </c>
      <c r="AW25" s="578">
        <v>18211.86</v>
      </c>
      <c r="AX25" s="578">
        <v>10630.96</v>
      </c>
      <c r="AY25" s="578">
        <v>0</v>
      </c>
      <c r="AZ25" s="578">
        <v>27617.73</v>
      </c>
      <c r="BA25" s="578">
        <v>4450</v>
      </c>
      <c r="BB25" s="578">
        <v>0</v>
      </c>
      <c r="BC25" s="578">
        <v>41981.02</v>
      </c>
      <c r="BD25" s="578">
        <v>11248</v>
      </c>
      <c r="BE25" s="578">
        <v>0</v>
      </c>
      <c r="BF25" s="578">
        <v>96594.54</v>
      </c>
      <c r="BG25" s="578">
        <v>0</v>
      </c>
      <c r="BH25" s="578">
        <v>182.87</v>
      </c>
      <c r="BI25" s="578">
        <v>2101</v>
      </c>
      <c r="BJ25" s="578">
        <v>0</v>
      </c>
      <c r="BK25" s="578">
        <v>0</v>
      </c>
      <c r="BL25" s="578">
        <v>7699</v>
      </c>
      <c r="BM25" s="578">
        <v>0</v>
      </c>
      <c r="BN25" s="578">
        <v>0</v>
      </c>
      <c r="BO25" s="578">
        <v>10000</v>
      </c>
      <c r="BP25" s="578">
        <v>0</v>
      </c>
      <c r="BQ25" s="578">
        <v>0</v>
      </c>
      <c r="BR25" s="578">
        <v>0</v>
      </c>
      <c r="BS25" s="578">
        <v>0</v>
      </c>
      <c r="BT25" s="578">
        <v>0</v>
      </c>
      <c r="BU25" s="578">
        <v>149869.17000000001</v>
      </c>
      <c r="BV25" s="578">
        <v>7699.07</v>
      </c>
      <c r="BW25" s="578">
        <v>0</v>
      </c>
      <c r="BX25" s="578">
        <v>0</v>
      </c>
      <c r="BY25" s="578">
        <v>0</v>
      </c>
      <c r="BZ25" s="578">
        <v>1736814.31</v>
      </c>
      <c r="CA25" s="578">
        <v>1664171.07</v>
      </c>
      <c r="CB25" s="578">
        <v>7699</v>
      </c>
      <c r="CC25" s="578">
        <v>0</v>
      </c>
      <c r="CD25" s="578">
        <v>157568.24</v>
      </c>
    </row>
    <row r="26" spans="1:82" hidden="1" x14ac:dyDescent="0.3">
      <c r="A26" s="574" t="s">
        <v>1611</v>
      </c>
      <c r="B26" s="577">
        <v>3307009</v>
      </c>
      <c r="C26" s="574">
        <f>_xlfn.XLOOKUP(B26,'[1]Blade-Export_15-08-2022_sources'!B:B,'[1]Blade-Export_15-08-2022_sources'!F:F,0,FALSE)</f>
        <v>330</v>
      </c>
      <c r="D26" s="574">
        <f>_xlfn.XLOOKUP($B26,'[1]Blade-Export_15-08-2022_sources'!$B:$B,'[1]Blade-Export_15-08-2022_sources'!G:G,0,FALSE)</f>
        <v>7009</v>
      </c>
      <c r="E26" s="574" t="str">
        <f>_xlfn.XLOOKUP($B26,'[1]Blade-Export_15-08-2022_sources'!$B:$B,'[1]Blade-Export_15-08-2022_sources'!H:H,0,FALSE)</f>
        <v>VICTORIA Spec</v>
      </c>
      <c r="F26" s="578">
        <v>1017914.88</v>
      </c>
      <c r="G26" s="578">
        <v>0</v>
      </c>
      <c r="H26" s="578">
        <v>11215.75</v>
      </c>
      <c r="I26" s="578">
        <v>4928702.59</v>
      </c>
      <c r="J26" s="578">
        <v>2534.56</v>
      </c>
      <c r="K26" s="578">
        <v>230559</v>
      </c>
      <c r="L26" s="578">
        <v>0</v>
      </c>
      <c r="M26" s="578">
        <v>162210</v>
      </c>
      <c r="N26" s="578">
        <v>12337.5</v>
      </c>
      <c r="O26" s="578">
        <v>500000</v>
      </c>
      <c r="P26" s="578">
        <v>774215.35</v>
      </c>
      <c r="Q26" s="578">
        <v>0</v>
      </c>
      <c r="R26" s="578">
        <v>16603.86</v>
      </c>
      <c r="S26" s="578">
        <v>0</v>
      </c>
      <c r="T26" s="578">
        <v>0</v>
      </c>
      <c r="U26" s="578">
        <v>12375.91</v>
      </c>
      <c r="V26" s="578">
        <v>0</v>
      </c>
      <c r="W26" s="578"/>
      <c r="X26" s="578">
        <v>0</v>
      </c>
      <c r="Y26" s="578">
        <v>0</v>
      </c>
      <c r="Z26" s="578">
        <v>0</v>
      </c>
      <c r="AA26" s="578">
        <v>0</v>
      </c>
      <c r="AB26" s="578">
        <v>54507.5</v>
      </c>
      <c r="AC26" s="578">
        <v>22100</v>
      </c>
      <c r="AD26" s="578">
        <v>22829</v>
      </c>
      <c r="AE26" s="578">
        <v>3066352.62</v>
      </c>
      <c r="AF26" s="578">
        <v>0</v>
      </c>
      <c r="AG26" s="578">
        <v>1819111.45</v>
      </c>
      <c r="AH26" s="578">
        <v>211412.24</v>
      </c>
      <c r="AI26" s="578">
        <v>296955.83</v>
      </c>
      <c r="AJ26" s="578">
        <v>0</v>
      </c>
      <c r="AK26" s="578">
        <v>167107.23000000001</v>
      </c>
      <c r="AL26" s="578">
        <v>13643.91</v>
      </c>
      <c r="AM26" s="578">
        <v>9890.6299999999992</v>
      </c>
      <c r="AN26" s="578">
        <v>0</v>
      </c>
      <c r="AO26" s="578">
        <v>0</v>
      </c>
      <c r="AP26" s="578">
        <v>52267.07</v>
      </c>
      <c r="AQ26" s="578">
        <v>3914.32</v>
      </c>
      <c r="AR26" s="578">
        <v>4552.01</v>
      </c>
      <c r="AS26" s="578">
        <v>22176.29</v>
      </c>
      <c r="AT26" s="578">
        <v>153558.35</v>
      </c>
      <c r="AU26" s="578">
        <v>0</v>
      </c>
      <c r="AV26" s="578">
        <v>31351.439999999999</v>
      </c>
      <c r="AW26" s="578">
        <v>147590.23000000001</v>
      </c>
      <c r="AX26" s="578">
        <v>65130.51</v>
      </c>
      <c r="AY26" s="578">
        <v>685.95</v>
      </c>
      <c r="AZ26" s="578">
        <v>34292.65</v>
      </c>
      <c r="BA26" s="578">
        <v>4450</v>
      </c>
      <c r="BB26" s="578">
        <v>0</v>
      </c>
      <c r="BC26" s="578">
        <v>132596.93</v>
      </c>
      <c r="BD26" s="578">
        <v>225094.72</v>
      </c>
      <c r="BE26" s="578">
        <v>19509.3</v>
      </c>
      <c r="BF26" s="578">
        <v>169514.4</v>
      </c>
      <c r="BG26" s="578">
        <v>0</v>
      </c>
      <c r="BH26" s="578">
        <v>661.42</v>
      </c>
      <c r="BI26" s="578">
        <v>44596.97</v>
      </c>
      <c r="BJ26" s="578">
        <v>0</v>
      </c>
      <c r="BK26" s="578">
        <v>0</v>
      </c>
      <c r="BL26" s="578">
        <v>15213.44</v>
      </c>
      <c r="BM26" s="578">
        <v>0</v>
      </c>
      <c r="BN26" s="578">
        <v>0</v>
      </c>
      <c r="BO26" s="578">
        <v>10000</v>
      </c>
      <c r="BP26" s="578">
        <v>0</v>
      </c>
      <c r="BQ26" s="578">
        <v>0</v>
      </c>
      <c r="BR26" s="578">
        <v>0</v>
      </c>
      <c r="BS26" s="578">
        <v>0</v>
      </c>
      <c r="BT26" s="578">
        <v>0</v>
      </c>
      <c r="BU26" s="578">
        <v>1060473.68</v>
      </c>
      <c r="BV26" s="578">
        <v>26429.19</v>
      </c>
      <c r="BW26" s="578">
        <v>0</v>
      </c>
      <c r="BX26" s="578">
        <v>0</v>
      </c>
      <c r="BY26" s="578">
        <v>0</v>
      </c>
      <c r="BZ26" s="578">
        <v>6738975.2699999996</v>
      </c>
      <c r="CA26" s="578">
        <v>6696416.4699999997</v>
      </c>
      <c r="CB26" s="578">
        <v>15213.44</v>
      </c>
      <c r="CC26" s="578">
        <v>0</v>
      </c>
      <c r="CD26" s="578">
        <v>1086902.8700000001</v>
      </c>
    </row>
    <row r="27" spans="1:82" hidden="1" x14ac:dyDescent="0.3">
      <c r="A27" s="574" t="s">
        <v>1612</v>
      </c>
      <c r="B27" s="577">
        <v>3307014</v>
      </c>
      <c r="C27" s="574">
        <f>_xlfn.XLOOKUP(B27,'[1]Blade-Export_15-08-2022_sources'!B:B,'[1]Blade-Export_15-08-2022_sources'!F:F,0,FALSE)</f>
        <v>330</v>
      </c>
      <c r="D27" s="574">
        <f>_xlfn.XLOOKUP($B27,'[1]Blade-Export_15-08-2022_sources'!$B:$B,'[1]Blade-Export_15-08-2022_sources'!G:G,0,FALSE)</f>
        <v>7014</v>
      </c>
      <c r="E27" s="574" t="str">
        <f>_xlfn.XLOOKUP($B27,'[1]Blade-Export_15-08-2022_sources'!$B:$B,'[1]Blade-Export_15-08-2022_sources'!H:H,0,FALSE)</f>
        <v>UFFCULME Spec</v>
      </c>
      <c r="F27" s="578">
        <v>1127943.3500000001</v>
      </c>
      <c r="G27" s="578">
        <v>0</v>
      </c>
      <c r="H27" s="578">
        <v>7.0000000000000007E-2</v>
      </c>
      <c r="I27" s="578">
        <v>4827465.4000000004</v>
      </c>
      <c r="J27" s="578">
        <v>1351.76</v>
      </c>
      <c r="K27" s="578">
        <v>991480</v>
      </c>
      <c r="L27" s="578">
        <v>0</v>
      </c>
      <c r="M27" s="578">
        <v>101210</v>
      </c>
      <c r="N27" s="578">
        <v>8173.59</v>
      </c>
      <c r="O27" s="578">
        <v>0</v>
      </c>
      <c r="P27" s="578">
        <v>228547.23</v>
      </c>
      <c r="Q27" s="578">
        <v>0</v>
      </c>
      <c r="R27" s="578">
        <v>30315.24</v>
      </c>
      <c r="S27" s="578">
        <v>0</v>
      </c>
      <c r="T27" s="578">
        <v>0</v>
      </c>
      <c r="U27" s="578">
        <v>11212</v>
      </c>
      <c r="V27" s="578">
        <v>0</v>
      </c>
      <c r="W27" s="578"/>
      <c r="X27" s="578">
        <v>0</v>
      </c>
      <c r="Y27" s="578">
        <v>0</v>
      </c>
      <c r="Z27" s="578">
        <v>0</v>
      </c>
      <c r="AA27" s="578">
        <v>0</v>
      </c>
      <c r="AB27" s="578">
        <v>22073.59</v>
      </c>
      <c r="AC27" s="578">
        <v>22800</v>
      </c>
      <c r="AD27" s="578">
        <v>28608.5</v>
      </c>
      <c r="AE27" s="578">
        <v>1594371.79</v>
      </c>
      <c r="AF27" s="578">
        <v>0</v>
      </c>
      <c r="AG27" s="578">
        <v>1975787.34</v>
      </c>
      <c r="AH27" s="578">
        <v>30699.85</v>
      </c>
      <c r="AI27" s="578">
        <v>248709.83</v>
      </c>
      <c r="AJ27" s="578">
        <v>0</v>
      </c>
      <c r="AK27" s="578">
        <v>67171.320000000007</v>
      </c>
      <c r="AL27" s="578">
        <v>55311.58</v>
      </c>
      <c r="AM27" s="578">
        <v>25565.119999999999</v>
      </c>
      <c r="AN27" s="578">
        <v>835</v>
      </c>
      <c r="AO27" s="578">
        <v>0</v>
      </c>
      <c r="AP27" s="578">
        <v>79657.11</v>
      </c>
      <c r="AQ27" s="578">
        <v>8248.8799999999992</v>
      </c>
      <c r="AR27" s="578">
        <v>94387.13</v>
      </c>
      <c r="AS27" s="578">
        <v>12120.42</v>
      </c>
      <c r="AT27" s="578">
        <v>96680.53</v>
      </c>
      <c r="AU27" s="578">
        <v>0</v>
      </c>
      <c r="AV27" s="578">
        <v>32272.39</v>
      </c>
      <c r="AW27" s="578">
        <v>68963.740000000005</v>
      </c>
      <c r="AX27" s="578">
        <v>106012.89</v>
      </c>
      <c r="AY27" s="578">
        <v>3521.19</v>
      </c>
      <c r="AZ27" s="578">
        <v>37988.57</v>
      </c>
      <c r="BA27" s="578">
        <v>18143.189999999999</v>
      </c>
      <c r="BB27" s="578">
        <v>0</v>
      </c>
      <c r="BC27" s="578">
        <v>127455.81</v>
      </c>
      <c r="BD27" s="578">
        <v>945842.32</v>
      </c>
      <c r="BE27" s="578">
        <v>119981.73</v>
      </c>
      <c r="BF27" s="578">
        <v>143228.04999999999</v>
      </c>
      <c r="BG27" s="578">
        <v>0</v>
      </c>
      <c r="BH27" s="578">
        <v>640.71</v>
      </c>
      <c r="BI27" s="578">
        <v>0</v>
      </c>
      <c r="BJ27" s="578">
        <v>0</v>
      </c>
      <c r="BK27" s="578">
        <v>0</v>
      </c>
      <c r="BL27" s="578">
        <v>14935</v>
      </c>
      <c r="BM27" s="578">
        <v>0</v>
      </c>
      <c r="BN27" s="578">
        <v>0</v>
      </c>
      <c r="BO27" s="578">
        <v>10000</v>
      </c>
      <c r="BP27" s="578">
        <v>0</v>
      </c>
      <c r="BQ27" s="578">
        <v>0</v>
      </c>
      <c r="BR27" s="578">
        <v>0</v>
      </c>
      <c r="BS27" s="578">
        <v>0</v>
      </c>
      <c r="BT27" s="578">
        <v>0</v>
      </c>
      <c r="BU27" s="578">
        <v>1507584.18</v>
      </c>
      <c r="BV27" s="578">
        <v>14935.07</v>
      </c>
      <c r="BW27" s="578">
        <v>0</v>
      </c>
      <c r="BX27" s="578">
        <v>0</v>
      </c>
      <c r="BY27" s="578">
        <v>0</v>
      </c>
      <c r="BZ27" s="578">
        <v>6273237.3099999996</v>
      </c>
      <c r="CA27" s="578">
        <v>5893596.4900000002</v>
      </c>
      <c r="CB27" s="578">
        <v>14935</v>
      </c>
      <c r="CC27" s="578">
        <v>0</v>
      </c>
      <c r="CD27" s="578">
        <v>1522519.25</v>
      </c>
    </row>
    <row r="28" spans="1:82" hidden="1" x14ac:dyDescent="0.3">
      <c r="A28" s="574" t="s">
        <v>1613</v>
      </c>
      <c r="B28" s="577">
        <v>3304187</v>
      </c>
      <c r="C28" s="574">
        <f>_xlfn.XLOOKUP(B28,'[1]Blade-Export_15-08-2022_sources'!B:B,'[1]Blade-Export_15-08-2022_sources'!F:F,0,FALSE)</f>
        <v>330</v>
      </c>
      <c r="D28" s="574">
        <f>_xlfn.XLOOKUP($B28,'[1]Blade-Export_15-08-2022_sources'!$B:$B,'[1]Blade-Export_15-08-2022_sources'!G:G,0,FALSE)</f>
        <v>4187</v>
      </c>
      <c r="E28" s="574" t="str">
        <f>_xlfn.XLOOKUP($B28,'[1]Blade-Export_15-08-2022_sources'!$B:$B,'[1]Blade-Export_15-08-2022_sources'!H:H,0,FALSE)</f>
        <v xml:space="preserve">TURVES GREEN GIRLS Sec </v>
      </c>
      <c r="F28" s="578">
        <v>493673.6</v>
      </c>
      <c r="G28" s="578">
        <v>0</v>
      </c>
      <c r="H28" s="578">
        <v>9626.7800000000007</v>
      </c>
      <c r="I28" s="578">
        <v>1835899.14</v>
      </c>
      <c r="J28" s="578">
        <v>0</v>
      </c>
      <c r="K28" s="578">
        <v>6180.82</v>
      </c>
      <c r="L28" s="578">
        <v>0</v>
      </c>
      <c r="M28" s="578">
        <v>134279.17000000001</v>
      </c>
      <c r="N28" s="578">
        <v>0</v>
      </c>
      <c r="O28" s="578">
        <v>0</v>
      </c>
      <c r="P28" s="578">
        <v>31280.53</v>
      </c>
      <c r="Q28" s="578">
        <v>691.14</v>
      </c>
      <c r="R28" s="578">
        <v>0</v>
      </c>
      <c r="S28" s="578">
        <v>0</v>
      </c>
      <c r="T28" s="578">
        <v>0</v>
      </c>
      <c r="U28" s="578">
        <v>3096.84</v>
      </c>
      <c r="V28" s="578">
        <v>0</v>
      </c>
      <c r="W28" s="578"/>
      <c r="X28" s="578">
        <v>0</v>
      </c>
      <c r="Y28" s="578">
        <v>0</v>
      </c>
      <c r="Z28" s="578">
        <v>0</v>
      </c>
      <c r="AA28" s="578">
        <v>0</v>
      </c>
      <c r="AB28" s="578">
        <v>13240</v>
      </c>
      <c r="AC28" s="578">
        <v>22660</v>
      </c>
      <c r="AD28" s="578">
        <v>0</v>
      </c>
      <c r="AE28" s="578">
        <v>1676012.8</v>
      </c>
      <c r="AF28" s="578">
        <v>5263.93</v>
      </c>
      <c r="AG28" s="578">
        <v>107279.99</v>
      </c>
      <c r="AH28" s="578">
        <v>48092.84</v>
      </c>
      <c r="AI28" s="578">
        <v>296313.64</v>
      </c>
      <c r="AJ28" s="578">
        <v>0</v>
      </c>
      <c r="AK28" s="578">
        <v>11869.89</v>
      </c>
      <c r="AL28" s="578">
        <v>10142.709999999999</v>
      </c>
      <c r="AM28" s="578">
        <v>1005</v>
      </c>
      <c r="AN28" s="578">
        <v>0</v>
      </c>
      <c r="AO28" s="578">
        <v>0</v>
      </c>
      <c r="AP28" s="578">
        <v>41774.61</v>
      </c>
      <c r="AQ28" s="578">
        <v>0</v>
      </c>
      <c r="AR28" s="578">
        <v>14754.98</v>
      </c>
      <c r="AS28" s="578">
        <v>11100.54</v>
      </c>
      <c r="AT28" s="578">
        <v>11313.94</v>
      </c>
      <c r="AU28" s="578">
        <v>25451.69</v>
      </c>
      <c r="AV28" s="578">
        <v>3092.25</v>
      </c>
      <c r="AW28" s="578">
        <v>57363.18</v>
      </c>
      <c r="AX28" s="578">
        <v>495.76</v>
      </c>
      <c r="AY28" s="578">
        <v>34708.68</v>
      </c>
      <c r="AZ28" s="578">
        <v>87472.7</v>
      </c>
      <c r="BA28" s="578">
        <v>542</v>
      </c>
      <c r="BB28" s="578">
        <v>0</v>
      </c>
      <c r="BC28" s="578">
        <v>0</v>
      </c>
      <c r="BD28" s="578">
        <v>0</v>
      </c>
      <c r="BE28" s="578">
        <v>0</v>
      </c>
      <c r="BF28" s="578">
        <v>96950.11</v>
      </c>
      <c r="BG28" s="578">
        <v>0</v>
      </c>
      <c r="BH28" s="578">
        <v>0</v>
      </c>
      <c r="BI28" s="578">
        <v>0</v>
      </c>
      <c r="BJ28" s="578">
        <v>0</v>
      </c>
      <c r="BK28" s="578">
        <v>0</v>
      </c>
      <c r="BL28" s="578">
        <v>14918.12</v>
      </c>
      <c r="BM28" s="578">
        <v>0</v>
      </c>
      <c r="BN28" s="578">
        <v>0</v>
      </c>
      <c r="BO28" s="578">
        <v>10000</v>
      </c>
      <c r="BP28" s="578">
        <v>0</v>
      </c>
      <c r="BQ28" s="578">
        <v>24544.9</v>
      </c>
      <c r="BR28" s="578">
        <v>0</v>
      </c>
      <c r="BS28" s="578">
        <v>0</v>
      </c>
      <c r="BT28" s="578">
        <v>0</v>
      </c>
      <c r="BU28" s="578">
        <v>0</v>
      </c>
      <c r="BV28" s="578">
        <v>0</v>
      </c>
      <c r="BW28" s="578">
        <v>0</v>
      </c>
      <c r="BX28" s="578">
        <v>0</v>
      </c>
      <c r="BY28" s="578">
        <v>0</v>
      </c>
      <c r="BZ28" s="578">
        <v>2047327.64</v>
      </c>
      <c r="CA28" s="578">
        <v>2541001.2400000002</v>
      </c>
      <c r="CB28" s="578">
        <v>14918.12</v>
      </c>
      <c r="CC28" s="578">
        <v>24544.9</v>
      </c>
      <c r="CD28" s="578">
        <v>0</v>
      </c>
    </row>
    <row r="29" spans="1:82" hidden="1" x14ac:dyDescent="0.3">
      <c r="A29" s="574" t="s">
        <v>1614</v>
      </c>
      <c r="B29" s="577">
        <v>3304188</v>
      </c>
      <c r="C29" s="574">
        <f>_xlfn.XLOOKUP(B29,'[1]Blade-Export_15-08-2022_sources'!B:B,'[1]Blade-Export_15-08-2022_sources'!F:F,0,FALSE)</f>
        <v>330</v>
      </c>
      <c r="D29" s="574">
        <f>_xlfn.XLOOKUP($B29,'[1]Blade-Export_15-08-2022_sources'!$B:$B,'[1]Blade-Export_15-08-2022_sources'!G:G,0,FALSE)</f>
        <v>4188</v>
      </c>
      <c r="E29" s="574" t="str">
        <f>_xlfn.XLOOKUP($B29,'[1]Blade-Export_15-08-2022_sources'!$B:$B,'[1]Blade-Export_15-08-2022_sources'!H:H,0,FALSE)</f>
        <v xml:space="preserve">TURVES GREEN BOYS Sec </v>
      </c>
      <c r="F29" s="578">
        <v>493352.58</v>
      </c>
      <c r="G29" s="578">
        <v>0</v>
      </c>
      <c r="H29" s="578">
        <v>-0.12</v>
      </c>
      <c r="I29" s="578">
        <v>1930944.21</v>
      </c>
      <c r="J29" s="578">
        <v>0</v>
      </c>
      <c r="K29" s="578">
        <v>0</v>
      </c>
      <c r="L29" s="578">
        <v>0</v>
      </c>
      <c r="M29" s="578">
        <v>95500</v>
      </c>
      <c r="N29" s="578">
        <v>0</v>
      </c>
      <c r="O29" s="578">
        <v>0</v>
      </c>
      <c r="P29" s="578">
        <v>28398.240000000002</v>
      </c>
      <c r="Q29" s="578">
        <v>690.69</v>
      </c>
      <c r="R29" s="578">
        <v>4979.51</v>
      </c>
      <c r="S29" s="578">
        <v>0</v>
      </c>
      <c r="T29" s="578">
        <v>0</v>
      </c>
      <c r="U29" s="578">
        <v>0</v>
      </c>
      <c r="V29" s="578">
        <v>0</v>
      </c>
      <c r="W29" s="578"/>
      <c r="X29" s="578">
        <v>0</v>
      </c>
      <c r="Y29" s="578">
        <v>0</v>
      </c>
      <c r="Z29" s="578">
        <v>0</v>
      </c>
      <c r="AA29" s="578">
        <v>0</v>
      </c>
      <c r="AB29" s="578">
        <v>0</v>
      </c>
      <c r="AC29" s="578">
        <v>0</v>
      </c>
      <c r="AD29" s="578">
        <v>0</v>
      </c>
      <c r="AE29" s="578">
        <v>1192325.6100000001</v>
      </c>
      <c r="AF29" s="578">
        <v>13085.95</v>
      </c>
      <c r="AG29" s="578">
        <v>548857.72</v>
      </c>
      <c r="AH29" s="578">
        <v>96143.58</v>
      </c>
      <c r="AI29" s="578">
        <v>200940.88</v>
      </c>
      <c r="AJ29" s="578">
        <v>14483.56</v>
      </c>
      <c r="AK29" s="578">
        <v>8841.68</v>
      </c>
      <c r="AL29" s="578">
        <v>2620.9</v>
      </c>
      <c r="AM29" s="578">
        <v>625</v>
      </c>
      <c r="AN29" s="578">
        <v>0</v>
      </c>
      <c r="AO29" s="578">
        <v>0</v>
      </c>
      <c r="AP29" s="578">
        <v>3459.98</v>
      </c>
      <c r="AQ29" s="578">
        <v>0</v>
      </c>
      <c r="AR29" s="578">
        <v>13</v>
      </c>
      <c r="AS29" s="578">
        <v>620.28</v>
      </c>
      <c r="AT29" s="578">
        <v>8767.0400000000009</v>
      </c>
      <c r="AU29" s="578">
        <v>11705.09</v>
      </c>
      <c r="AV29" s="578">
        <v>770</v>
      </c>
      <c r="AW29" s="578">
        <v>6192.28</v>
      </c>
      <c r="AX29" s="578">
        <v>2075.8000000000002</v>
      </c>
      <c r="AY29" s="578">
        <v>27719.25</v>
      </c>
      <c r="AZ29" s="578">
        <v>341437.18</v>
      </c>
      <c r="BA29" s="578">
        <v>1352.5</v>
      </c>
      <c r="BB29" s="578">
        <v>0</v>
      </c>
      <c r="BC29" s="578">
        <v>9927.91</v>
      </c>
      <c r="BD29" s="578">
        <v>0</v>
      </c>
      <c r="BE29" s="578">
        <v>1155</v>
      </c>
      <c r="BF29" s="578">
        <v>60745.05</v>
      </c>
      <c r="BG29" s="578">
        <v>0</v>
      </c>
      <c r="BH29" s="578">
        <v>0</v>
      </c>
      <c r="BI29" s="578">
        <v>0</v>
      </c>
      <c r="BJ29" s="578">
        <v>0</v>
      </c>
      <c r="BK29" s="578">
        <v>0</v>
      </c>
      <c r="BL29" s="578">
        <v>14816.88</v>
      </c>
      <c r="BM29" s="578">
        <v>0</v>
      </c>
      <c r="BN29" s="578">
        <v>0</v>
      </c>
      <c r="BO29" s="578">
        <v>10000</v>
      </c>
      <c r="BP29" s="578">
        <v>0</v>
      </c>
      <c r="BQ29" s="578">
        <v>0</v>
      </c>
      <c r="BR29" s="578">
        <v>0</v>
      </c>
      <c r="BS29" s="578">
        <v>0</v>
      </c>
      <c r="BT29" s="578">
        <v>0</v>
      </c>
      <c r="BU29" s="578">
        <v>0</v>
      </c>
      <c r="BV29" s="578">
        <v>14816.76</v>
      </c>
      <c r="BW29" s="578">
        <v>0</v>
      </c>
      <c r="BX29" s="578">
        <v>0</v>
      </c>
      <c r="BY29" s="578">
        <v>0</v>
      </c>
      <c r="BZ29" s="578">
        <v>2060512.65</v>
      </c>
      <c r="CA29" s="578">
        <v>2553865.2400000002</v>
      </c>
      <c r="CB29" s="578">
        <v>14816.88</v>
      </c>
      <c r="CC29" s="578">
        <v>0</v>
      </c>
      <c r="CD29" s="578">
        <v>14816.76</v>
      </c>
    </row>
    <row r="30" spans="1:82" hidden="1" x14ac:dyDescent="0.3">
      <c r="A30" s="574" t="s">
        <v>1615</v>
      </c>
      <c r="B30" s="577">
        <v>3302192</v>
      </c>
      <c r="C30" s="574">
        <f>_xlfn.XLOOKUP(B30,'[1]Blade-Export_15-08-2022_sources'!B:B,'[1]Blade-Export_15-08-2022_sources'!F:F,0,FALSE)</f>
        <v>330</v>
      </c>
      <c r="D30" s="574">
        <f>_xlfn.XLOOKUP($B30,'[1]Blade-Export_15-08-2022_sources'!$B:$B,'[1]Blade-Export_15-08-2022_sources'!G:G,0,FALSE)</f>
        <v>2192</v>
      </c>
      <c r="E30" s="574" t="str">
        <f>_xlfn.XLOOKUP($B30,'[1]Blade-Export_15-08-2022_sources'!$B:$B,'[1]Blade-Export_15-08-2022_sources'!H:H,0,FALSE)</f>
        <v xml:space="preserve">THORNTON JI </v>
      </c>
      <c r="F30" s="578">
        <v>556440.80000000005</v>
      </c>
      <c r="G30" s="578">
        <v>0</v>
      </c>
      <c r="H30" s="578">
        <v>4600.5</v>
      </c>
      <c r="I30" s="578">
        <v>2593621.67</v>
      </c>
      <c r="J30" s="578">
        <v>0</v>
      </c>
      <c r="K30" s="578">
        <v>27589.33</v>
      </c>
      <c r="L30" s="578">
        <v>0</v>
      </c>
      <c r="M30" s="578">
        <v>338940</v>
      </c>
      <c r="N30" s="578">
        <v>8918.44</v>
      </c>
      <c r="O30" s="578">
        <v>0</v>
      </c>
      <c r="P30" s="578">
        <v>148093.29999999999</v>
      </c>
      <c r="Q30" s="578">
        <v>680.39</v>
      </c>
      <c r="R30" s="578">
        <v>100</v>
      </c>
      <c r="S30" s="578">
        <v>0</v>
      </c>
      <c r="T30" s="578">
        <v>0</v>
      </c>
      <c r="U30" s="578">
        <v>186.7</v>
      </c>
      <c r="V30" s="578">
        <v>0</v>
      </c>
      <c r="W30" s="578"/>
      <c r="X30" s="578">
        <v>0</v>
      </c>
      <c r="Y30" s="578">
        <v>0</v>
      </c>
      <c r="Z30" s="578">
        <v>0</v>
      </c>
      <c r="AA30" s="578">
        <v>0</v>
      </c>
      <c r="AB30" s="578">
        <v>28388.44</v>
      </c>
      <c r="AC30" s="578">
        <v>18930</v>
      </c>
      <c r="AD30" s="578">
        <v>21820</v>
      </c>
      <c r="AE30" s="578">
        <v>1473907.09</v>
      </c>
      <c r="AF30" s="578">
        <v>0</v>
      </c>
      <c r="AG30" s="578">
        <v>468067.06</v>
      </c>
      <c r="AH30" s="578">
        <v>112196.55</v>
      </c>
      <c r="AI30" s="578">
        <v>313658.37</v>
      </c>
      <c r="AJ30" s="578">
        <v>0</v>
      </c>
      <c r="AK30" s="578">
        <v>97866.5</v>
      </c>
      <c r="AL30" s="578">
        <v>692.8</v>
      </c>
      <c r="AM30" s="578">
        <v>10204.969999999999</v>
      </c>
      <c r="AN30" s="578">
        <v>0</v>
      </c>
      <c r="AO30" s="578">
        <v>0</v>
      </c>
      <c r="AP30" s="578">
        <v>131691.72</v>
      </c>
      <c r="AQ30" s="578">
        <v>351.66</v>
      </c>
      <c r="AR30" s="578">
        <v>816.57</v>
      </c>
      <c r="AS30" s="578">
        <v>5054.79</v>
      </c>
      <c r="AT30" s="578">
        <v>39111.760000000002</v>
      </c>
      <c r="AU30" s="578">
        <v>32674.560000000001</v>
      </c>
      <c r="AV30" s="578">
        <v>10511.3</v>
      </c>
      <c r="AW30" s="578">
        <v>114343.55</v>
      </c>
      <c r="AX30" s="578">
        <v>13829.08</v>
      </c>
      <c r="AY30" s="578">
        <v>0</v>
      </c>
      <c r="AZ30" s="578">
        <v>14776.73</v>
      </c>
      <c r="BA30" s="578">
        <v>10880</v>
      </c>
      <c r="BB30" s="578">
        <v>0</v>
      </c>
      <c r="BC30" s="578">
        <v>132013.26</v>
      </c>
      <c r="BD30" s="578">
        <v>79568.509999999995</v>
      </c>
      <c r="BE30" s="578">
        <v>25079.15</v>
      </c>
      <c r="BF30" s="578">
        <v>90127.44</v>
      </c>
      <c r="BG30" s="578">
        <v>0</v>
      </c>
      <c r="BH30" s="578">
        <v>0</v>
      </c>
      <c r="BI30" s="578">
        <v>79614</v>
      </c>
      <c r="BJ30" s="578">
        <v>0</v>
      </c>
      <c r="BK30" s="578">
        <v>0</v>
      </c>
      <c r="BL30" s="578">
        <v>10738.75</v>
      </c>
      <c r="BM30" s="578">
        <v>0</v>
      </c>
      <c r="BN30" s="578">
        <v>0</v>
      </c>
      <c r="BO30" s="578">
        <v>10000</v>
      </c>
      <c r="BP30" s="578">
        <v>0</v>
      </c>
      <c r="BQ30" s="578">
        <v>10570.24</v>
      </c>
      <c r="BR30" s="578">
        <v>0</v>
      </c>
      <c r="BS30" s="578">
        <v>0</v>
      </c>
      <c r="BT30" s="578">
        <v>0</v>
      </c>
      <c r="BU30" s="578">
        <v>486671.64</v>
      </c>
      <c r="BV30" s="578">
        <v>4769.01</v>
      </c>
      <c r="BW30" s="578">
        <v>0</v>
      </c>
      <c r="BX30" s="578">
        <v>0</v>
      </c>
      <c r="BY30" s="578">
        <v>0</v>
      </c>
      <c r="BZ30" s="578">
        <v>3187268.27</v>
      </c>
      <c r="CA30" s="578">
        <v>3257037.42</v>
      </c>
      <c r="CB30" s="578">
        <v>10738.75</v>
      </c>
      <c r="CC30" s="578">
        <v>10570.24</v>
      </c>
      <c r="CD30" s="578">
        <v>491440.65</v>
      </c>
    </row>
    <row r="31" spans="1:82" hidden="1" x14ac:dyDescent="0.3">
      <c r="A31" s="574" t="s">
        <v>1616</v>
      </c>
      <c r="B31" s="577">
        <v>3303325</v>
      </c>
      <c r="C31" s="574">
        <f>_xlfn.XLOOKUP(B31,'[1]Blade-Export_15-08-2022_sources'!B:B,'[1]Blade-Export_15-08-2022_sources'!F:F,0,FALSE)</f>
        <v>330</v>
      </c>
      <c r="D31" s="574">
        <f>_xlfn.XLOOKUP($B31,'[1]Blade-Export_15-08-2022_sources'!$B:$B,'[1]Blade-Export_15-08-2022_sources'!G:G,0,FALSE)</f>
        <v>3325</v>
      </c>
      <c r="E31" s="574" t="str">
        <f>_xlfn.XLOOKUP($B31,'[1]Blade-Export_15-08-2022_sources'!$B:$B,'[1]Blade-Export_15-08-2022_sources'!H:H,0,FALSE)</f>
        <v>ROSARY RC JI NC</v>
      </c>
      <c r="F31" s="578">
        <v>322470.34999999998</v>
      </c>
      <c r="G31" s="578">
        <v>0</v>
      </c>
      <c r="H31" s="578">
        <v>0</v>
      </c>
      <c r="I31" s="578">
        <v>897818.2</v>
      </c>
      <c r="J31" s="578">
        <v>0</v>
      </c>
      <c r="K31" s="578">
        <v>32984.1</v>
      </c>
      <c r="L31" s="578">
        <v>0</v>
      </c>
      <c r="M31" s="578">
        <v>81820.83</v>
      </c>
      <c r="N31" s="578">
        <v>0</v>
      </c>
      <c r="O31" s="578">
        <v>1000</v>
      </c>
      <c r="P31" s="578">
        <v>0</v>
      </c>
      <c r="Q31" s="578">
        <v>0</v>
      </c>
      <c r="R31" s="578">
        <v>0</v>
      </c>
      <c r="S31" s="578">
        <v>0</v>
      </c>
      <c r="T31" s="578">
        <v>0</v>
      </c>
      <c r="U31" s="578">
        <v>1512</v>
      </c>
      <c r="V31" s="578">
        <v>0</v>
      </c>
      <c r="W31" s="578"/>
      <c r="X31" s="578">
        <v>0</v>
      </c>
      <c r="Y31" s="578">
        <v>0</v>
      </c>
      <c r="Z31" s="578">
        <v>0</v>
      </c>
      <c r="AA31" s="578">
        <v>0</v>
      </c>
      <c r="AB31" s="578">
        <v>0</v>
      </c>
      <c r="AC31" s="578">
        <v>13100</v>
      </c>
      <c r="AD31" s="578">
        <v>52545</v>
      </c>
      <c r="AE31" s="578">
        <v>463765.69</v>
      </c>
      <c r="AF31" s="578">
        <v>0</v>
      </c>
      <c r="AG31" s="578">
        <v>107076.43</v>
      </c>
      <c r="AH31" s="578">
        <v>14359.78</v>
      </c>
      <c r="AI31" s="578">
        <v>86869.06</v>
      </c>
      <c r="AJ31" s="578">
        <v>126.73</v>
      </c>
      <c r="AK31" s="578">
        <v>13849.66</v>
      </c>
      <c r="AL31" s="578">
        <v>344.3</v>
      </c>
      <c r="AM31" s="578">
        <v>270</v>
      </c>
      <c r="AN31" s="578">
        <v>0</v>
      </c>
      <c r="AO31" s="578">
        <v>8790.32</v>
      </c>
      <c r="AP31" s="578">
        <v>16679.68</v>
      </c>
      <c r="AQ31" s="578">
        <v>2180</v>
      </c>
      <c r="AR31" s="578">
        <v>8275.34</v>
      </c>
      <c r="AS31" s="578">
        <v>816.19</v>
      </c>
      <c r="AT31" s="578">
        <v>8433.7999999999993</v>
      </c>
      <c r="AU31" s="578">
        <v>2674.58</v>
      </c>
      <c r="AV31" s="578">
        <v>3598.4</v>
      </c>
      <c r="AW31" s="578">
        <v>79881.210000000006</v>
      </c>
      <c r="AX31" s="578">
        <v>0</v>
      </c>
      <c r="AY31" s="578">
        <v>0</v>
      </c>
      <c r="AZ31" s="578">
        <v>365245.21</v>
      </c>
      <c r="BA31" s="578">
        <v>0</v>
      </c>
      <c r="BB31" s="578">
        <v>0</v>
      </c>
      <c r="BC31" s="578">
        <v>69094.75</v>
      </c>
      <c r="BD31" s="578">
        <v>102957.06</v>
      </c>
      <c r="BE31" s="578">
        <v>2051.75</v>
      </c>
      <c r="BF31" s="578">
        <v>45910.54</v>
      </c>
      <c r="BG31" s="578">
        <v>0</v>
      </c>
      <c r="BH31" s="578">
        <v>0</v>
      </c>
      <c r="BI31" s="578">
        <v>0</v>
      </c>
      <c r="BJ31" s="578">
        <v>0</v>
      </c>
      <c r="BK31" s="578">
        <v>0</v>
      </c>
      <c r="BL31" s="578">
        <v>0</v>
      </c>
      <c r="BM31" s="578">
        <v>0</v>
      </c>
      <c r="BN31" s="578">
        <v>0</v>
      </c>
      <c r="BO31" s="578">
        <v>10000</v>
      </c>
      <c r="BP31" s="578">
        <v>0</v>
      </c>
      <c r="BQ31" s="578">
        <v>0</v>
      </c>
      <c r="BR31" s="578">
        <v>0</v>
      </c>
      <c r="BS31" s="578">
        <v>0</v>
      </c>
      <c r="BT31" s="578">
        <v>0</v>
      </c>
      <c r="BU31" s="578">
        <v>0</v>
      </c>
      <c r="BV31" s="578">
        <v>0</v>
      </c>
      <c r="BW31" s="578">
        <v>0</v>
      </c>
      <c r="BX31" s="578">
        <v>0</v>
      </c>
      <c r="BY31" s="578">
        <v>0</v>
      </c>
      <c r="BZ31" s="578">
        <v>1080780.1299999999</v>
      </c>
      <c r="CA31" s="578">
        <v>1403250.48</v>
      </c>
      <c r="CB31" s="578">
        <v>0</v>
      </c>
      <c r="CC31" s="578">
        <v>0</v>
      </c>
      <c r="CD31" s="578">
        <v>0</v>
      </c>
    </row>
    <row r="32" spans="1:82" hidden="1" x14ac:dyDescent="0.3">
      <c r="A32" s="574" t="s">
        <v>1617</v>
      </c>
      <c r="B32" s="577">
        <v>3307045</v>
      </c>
      <c r="C32" s="574">
        <f>_xlfn.XLOOKUP(B32,'[1]Blade-Export_15-08-2022_sources'!B:B,'[1]Blade-Export_15-08-2022_sources'!F:F,0,FALSE)</f>
        <v>330</v>
      </c>
      <c r="D32" s="574">
        <f>_xlfn.XLOOKUP($B32,'[1]Blade-Export_15-08-2022_sources'!$B:$B,'[1]Blade-Export_15-08-2022_sources'!G:G,0,FALSE)</f>
        <v>7045</v>
      </c>
      <c r="E32" s="574" t="str">
        <f>_xlfn.XLOOKUP($B32,'[1]Blade-Export_15-08-2022_sources'!$B:$B,'[1]Blade-Export_15-08-2022_sources'!H:H,0,FALSE)</f>
        <v>PINES Spec</v>
      </c>
      <c r="F32" s="578">
        <v>864390.24</v>
      </c>
      <c r="G32" s="578">
        <v>0</v>
      </c>
      <c r="H32" s="578">
        <v>17697.27</v>
      </c>
      <c r="I32" s="578">
        <v>4486878.7699999996</v>
      </c>
      <c r="J32" s="578">
        <v>0</v>
      </c>
      <c r="K32" s="578">
        <v>0</v>
      </c>
      <c r="L32" s="578">
        <v>0</v>
      </c>
      <c r="M32" s="578">
        <v>120465</v>
      </c>
      <c r="N32" s="578">
        <v>18158.91</v>
      </c>
      <c r="O32" s="578">
        <v>0</v>
      </c>
      <c r="P32" s="578">
        <v>173812.92</v>
      </c>
      <c r="Q32" s="578">
        <v>531.28</v>
      </c>
      <c r="R32" s="578">
        <v>31549.93</v>
      </c>
      <c r="S32" s="578">
        <v>0</v>
      </c>
      <c r="T32" s="578">
        <v>0</v>
      </c>
      <c r="U32" s="578">
        <v>584.65</v>
      </c>
      <c r="V32" s="578">
        <v>0</v>
      </c>
      <c r="W32" s="578"/>
      <c r="X32" s="578">
        <v>0</v>
      </c>
      <c r="Y32" s="578">
        <v>0</v>
      </c>
      <c r="Z32" s="578">
        <v>0</v>
      </c>
      <c r="AA32" s="578">
        <v>0</v>
      </c>
      <c r="AB32" s="578">
        <v>45903.91</v>
      </c>
      <c r="AC32" s="578">
        <v>20900</v>
      </c>
      <c r="AD32" s="578">
        <v>32213</v>
      </c>
      <c r="AE32" s="578">
        <v>1774326.55</v>
      </c>
      <c r="AF32" s="578">
        <v>0</v>
      </c>
      <c r="AG32" s="578">
        <v>1514109.57</v>
      </c>
      <c r="AH32" s="578">
        <v>57302.15</v>
      </c>
      <c r="AI32" s="578">
        <v>92983.84</v>
      </c>
      <c r="AJ32" s="578">
        <v>0</v>
      </c>
      <c r="AK32" s="578">
        <v>85073.38</v>
      </c>
      <c r="AL32" s="578">
        <v>4903.0200000000004</v>
      </c>
      <c r="AM32" s="578">
        <v>12694</v>
      </c>
      <c r="AN32" s="578">
        <v>0</v>
      </c>
      <c r="AO32" s="578">
        <v>0</v>
      </c>
      <c r="AP32" s="578">
        <v>53370.71</v>
      </c>
      <c r="AQ32" s="578">
        <v>0</v>
      </c>
      <c r="AR32" s="578">
        <v>65567.69</v>
      </c>
      <c r="AS32" s="578">
        <v>6709.1</v>
      </c>
      <c r="AT32" s="578">
        <v>36861.69</v>
      </c>
      <c r="AU32" s="578">
        <v>0</v>
      </c>
      <c r="AV32" s="578">
        <v>5003.3</v>
      </c>
      <c r="AW32" s="578">
        <v>138050.73000000001</v>
      </c>
      <c r="AX32" s="578">
        <v>54318.77</v>
      </c>
      <c r="AY32" s="578">
        <v>220.43</v>
      </c>
      <c r="AZ32" s="578">
        <v>21264.35</v>
      </c>
      <c r="BA32" s="578">
        <v>4450</v>
      </c>
      <c r="BB32" s="578">
        <v>0</v>
      </c>
      <c r="BC32" s="578">
        <v>43731.32</v>
      </c>
      <c r="BD32" s="578">
        <v>98033.79</v>
      </c>
      <c r="BE32" s="578">
        <v>995</v>
      </c>
      <c r="BF32" s="578">
        <v>616326.99</v>
      </c>
      <c r="BG32" s="578">
        <v>0</v>
      </c>
      <c r="BH32" s="578">
        <v>0</v>
      </c>
      <c r="BI32" s="578">
        <v>0</v>
      </c>
      <c r="BJ32" s="578">
        <v>0</v>
      </c>
      <c r="BK32" s="578">
        <v>0</v>
      </c>
      <c r="BL32" s="578">
        <v>13699.75</v>
      </c>
      <c r="BM32" s="578">
        <v>0</v>
      </c>
      <c r="BN32" s="578">
        <v>0</v>
      </c>
      <c r="BO32" s="578">
        <v>10000</v>
      </c>
      <c r="BP32" s="578">
        <v>0</v>
      </c>
      <c r="BQ32" s="578">
        <v>11440.85</v>
      </c>
      <c r="BR32" s="578">
        <v>0</v>
      </c>
      <c r="BS32" s="578">
        <v>0</v>
      </c>
      <c r="BT32" s="578">
        <v>0</v>
      </c>
      <c r="BU32" s="578">
        <v>1109092.22</v>
      </c>
      <c r="BV32" s="578">
        <v>19956.169999999998</v>
      </c>
      <c r="BW32" s="578">
        <v>0</v>
      </c>
      <c r="BX32" s="578">
        <v>0</v>
      </c>
      <c r="BY32" s="578">
        <v>0</v>
      </c>
      <c r="BZ32" s="578">
        <v>4930998.37</v>
      </c>
      <c r="CA32" s="578">
        <v>4686296.38</v>
      </c>
      <c r="CB32" s="578">
        <v>13699.75</v>
      </c>
      <c r="CC32" s="578">
        <v>11440.85</v>
      </c>
      <c r="CD32" s="578">
        <v>1129048.3899999999</v>
      </c>
    </row>
    <row r="33" spans="1:82" hidden="1" x14ac:dyDescent="0.3">
      <c r="A33" s="574" t="s">
        <v>1618</v>
      </c>
      <c r="B33" s="577">
        <v>3303323</v>
      </c>
      <c r="C33" s="574">
        <f>_xlfn.XLOOKUP(B33,'[1]Blade-Export_15-08-2022_sources'!B:B,'[1]Blade-Export_15-08-2022_sources'!F:F,0,FALSE)</f>
        <v>330</v>
      </c>
      <c r="D33" s="574">
        <f>_xlfn.XLOOKUP($B33,'[1]Blade-Export_15-08-2022_sources'!$B:$B,'[1]Blade-Export_15-08-2022_sources'!G:G,0,FALSE)</f>
        <v>3323</v>
      </c>
      <c r="E33" s="574" t="str">
        <f>_xlfn.XLOOKUP($B33,'[1]Blade-Export_15-08-2022_sources'!$B:$B,'[1]Blade-Export_15-08-2022_sources'!H:H,0,FALSE)</f>
        <v>ORATORY RC JI NC</v>
      </c>
      <c r="F33" s="578">
        <v>161610.85</v>
      </c>
      <c r="G33" s="578">
        <v>0</v>
      </c>
      <c r="H33" s="578">
        <v>0</v>
      </c>
      <c r="I33" s="578">
        <v>1357881.82</v>
      </c>
      <c r="J33" s="578">
        <v>0</v>
      </c>
      <c r="K33" s="578">
        <v>34730.17</v>
      </c>
      <c r="L33" s="578">
        <v>0</v>
      </c>
      <c r="M33" s="578">
        <v>136155</v>
      </c>
      <c r="N33" s="578">
        <v>3012.19</v>
      </c>
      <c r="O33" s="578">
        <v>0</v>
      </c>
      <c r="P33" s="578">
        <v>62701.39</v>
      </c>
      <c r="Q33" s="578">
        <v>0</v>
      </c>
      <c r="R33" s="578">
        <v>10366.39</v>
      </c>
      <c r="S33" s="578">
        <v>0</v>
      </c>
      <c r="T33" s="578">
        <v>0</v>
      </c>
      <c r="U33" s="578">
        <v>77.81</v>
      </c>
      <c r="V33" s="578">
        <v>0</v>
      </c>
      <c r="W33" s="578"/>
      <c r="X33" s="578">
        <v>0</v>
      </c>
      <c r="Y33" s="578">
        <v>0</v>
      </c>
      <c r="Z33" s="578">
        <v>0</v>
      </c>
      <c r="AA33" s="578">
        <v>0</v>
      </c>
      <c r="AB33" s="578">
        <v>10334.69</v>
      </c>
      <c r="AC33" s="578">
        <v>6930</v>
      </c>
      <c r="AD33" s="578">
        <v>33382</v>
      </c>
      <c r="AE33" s="578">
        <v>597141.53</v>
      </c>
      <c r="AF33" s="578">
        <v>0</v>
      </c>
      <c r="AG33" s="578">
        <v>163658.65</v>
      </c>
      <c r="AH33" s="578">
        <v>56569.42</v>
      </c>
      <c r="AI33" s="578">
        <v>83060.479999999996</v>
      </c>
      <c r="AJ33" s="578">
        <v>0</v>
      </c>
      <c r="AK33" s="578">
        <v>28696.57</v>
      </c>
      <c r="AL33" s="578">
        <v>6682.2</v>
      </c>
      <c r="AM33" s="578">
        <v>3862.62</v>
      </c>
      <c r="AN33" s="578">
        <v>0</v>
      </c>
      <c r="AO33" s="578">
        <v>0</v>
      </c>
      <c r="AP33" s="578">
        <v>38428.410000000003</v>
      </c>
      <c r="AQ33" s="578">
        <v>2786.16</v>
      </c>
      <c r="AR33" s="578">
        <v>7166.3</v>
      </c>
      <c r="AS33" s="578">
        <v>2347.63</v>
      </c>
      <c r="AT33" s="578">
        <v>17325.169999999998</v>
      </c>
      <c r="AU33" s="578">
        <v>4116.4799999999996</v>
      </c>
      <c r="AV33" s="578">
        <v>7818.35</v>
      </c>
      <c r="AW33" s="578">
        <v>34017.269999999997</v>
      </c>
      <c r="AX33" s="578">
        <v>24630.37</v>
      </c>
      <c r="AY33" s="578">
        <v>0</v>
      </c>
      <c r="AZ33" s="578">
        <v>58502.18</v>
      </c>
      <c r="BA33" s="578">
        <v>2985.23</v>
      </c>
      <c r="BB33" s="578">
        <v>0</v>
      </c>
      <c r="BC33" s="578">
        <v>126511.48</v>
      </c>
      <c r="BD33" s="578">
        <v>147245.01</v>
      </c>
      <c r="BE33" s="578">
        <v>153.02000000000001</v>
      </c>
      <c r="BF33" s="578">
        <v>278445.48</v>
      </c>
      <c r="BG33" s="578">
        <v>0</v>
      </c>
      <c r="BH33" s="578">
        <v>0</v>
      </c>
      <c r="BI33" s="578">
        <v>8289.06</v>
      </c>
      <c r="BJ33" s="578">
        <v>0</v>
      </c>
      <c r="BK33" s="578">
        <v>0</v>
      </c>
      <c r="BL33" s="578">
        <v>0</v>
      </c>
      <c r="BM33" s="578">
        <v>0</v>
      </c>
      <c r="BN33" s="578">
        <v>0</v>
      </c>
      <c r="BO33" s="578">
        <v>10000</v>
      </c>
      <c r="BP33" s="578">
        <v>0</v>
      </c>
      <c r="BQ33" s="578">
        <v>0</v>
      </c>
      <c r="BR33" s="578">
        <v>0</v>
      </c>
      <c r="BS33" s="578">
        <v>0</v>
      </c>
      <c r="BT33" s="578">
        <v>0</v>
      </c>
      <c r="BU33" s="578">
        <v>116743.24</v>
      </c>
      <c r="BV33" s="578">
        <v>0</v>
      </c>
      <c r="BW33" s="578">
        <v>0</v>
      </c>
      <c r="BX33" s="578">
        <v>0</v>
      </c>
      <c r="BY33" s="578">
        <v>0</v>
      </c>
      <c r="BZ33" s="578">
        <v>1655571.46</v>
      </c>
      <c r="CA33" s="578">
        <v>1700439.07</v>
      </c>
      <c r="CB33" s="578">
        <v>0</v>
      </c>
      <c r="CC33" s="578">
        <v>0</v>
      </c>
      <c r="CD33" s="578">
        <v>116743.24</v>
      </c>
    </row>
    <row r="34" spans="1:82" hidden="1" x14ac:dyDescent="0.3">
      <c r="A34" s="574" t="s">
        <v>1619</v>
      </c>
      <c r="B34" s="577">
        <v>3302018</v>
      </c>
      <c r="C34" s="574">
        <f>_xlfn.XLOOKUP(B34,'[1]Blade-Export_15-08-2022_sources'!B:B,'[1]Blade-Export_15-08-2022_sources'!F:F,0,FALSE)</f>
        <v>330</v>
      </c>
      <c r="D34" s="574">
        <f>_xlfn.XLOOKUP($B34,'[1]Blade-Export_15-08-2022_sources'!$B:$B,'[1]Blade-Export_15-08-2022_sources'!G:G,0,FALSE)</f>
        <v>2018</v>
      </c>
      <c r="E34" s="574" t="str">
        <f>_xlfn.XLOOKUP($B34,'[1]Blade-Export_15-08-2022_sources'!$B:$B,'[1]Blade-Export_15-08-2022_sources'!H:H,0,FALSE)</f>
        <v>OAKS, THE JI NC</v>
      </c>
      <c r="F34" s="578">
        <v>395695.93</v>
      </c>
      <c r="G34" s="578">
        <v>0</v>
      </c>
      <c r="H34" s="578">
        <v>3499.5</v>
      </c>
      <c r="I34" s="578">
        <v>2071871.8</v>
      </c>
      <c r="J34" s="578">
        <v>0</v>
      </c>
      <c r="K34" s="578">
        <v>43257.73</v>
      </c>
      <c r="L34" s="578">
        <v>0</v>
      </c>
      <c r="M34" s="578">
        <v>343940</v>
      </c>
      <c r="N34" s="578">
        <v>7737.19</v>
      </c>
      <c r="O34" s="578">
        <v>0</v>
      </c>
      <c r="P34" s="578">
        <v>55142.78</v>
      </c>
      <c r="Q34" s="578">
        <v>407.16</v>
      </c>
      <c r="R34" s="578">
        <v>1035.27</v>
      </c>
      <c r="S34" s="578">
        <v>0</v>
      </c>
      <c r="T34" s="578">
        <v>0</v>
      </c>
      <c r="U34" s="578">
        <v>1328.27</v>
      </c>
      <c r="V34" s="578">
        <v>0</v>
      </c>
      <c r="W34" s="578"/>
      <c r="X34" s="578">
        <v>0</v>
      </c>
      <c r="Y34" s="578">
        <v>0</v>
      </c>
      <c r="Z34" s="578">
        <v>0</v>
      </c>
      <c r="AA34" s="578">
        <v>0</v>
      </c>
      <c r="AB34" s="578">
        <v>31828.9</v>
      </c>
      <c r="AC34" s="578">
        <v>10930</v>
      </c>
      <c r="AD34" s="578">
        <v>36581</v>
      </c>
      <c r="AE34" s="578">
        <v>1325427.71</v>
      </c>
      <c r="AF34" s="578">
        <v>0</v>
      </c>
      <c r="AG34" s="578">
        <v>427099.33</v>
      </c>
      <c r="AH34" s="578">
        <v>90918.74</v>
      </c>
      <c r="AI34" s="578">
        <v>137671.48000000001</v>
      </c>
      <c r="AJ34" s="578">
        <v>80786.179999999993</v>
      </c>
      <c r="AK34" s="578">
        <v>111420.07</v>
      </c>
      <c r="AL34" s="578">
        <v>952.5</v>
      </c>
      <c r="AM34" s="578">
        <v>655</v>
      </c>
      <c r="AN34" s="578">
        <v>0</v>
      </c>
      <c r="AO34" s="578">
        <v>0</v>
      </c>
      <c r="AP34" s="578">
        <v>53441.3</v>
      </c>
      <c r="AQ34" s="578">
        <v>1218.1199999999999</v>
      </c>
      <c r="AR34" s="578">
        <v>2444.84</v>
      </c>
      <c r="AS34" s="578">
        <v>4944.47</v>
      </c>
      <c r="AT34" s="578">
        <v>32417.58</v>
      </c>
      <c r="AU34" s="578">
        <v>21815.03</v>
      </c>
      <c r="AV34" s="578">
        <v>6799.8</v>
      </c>
      <c r="AW34" s="578">
        <v>70102.31</v>
      </c>
      <c r="AX34" s="578">
        <v>8949.6299999999992</v>
      </c>
      <c r="AY34" s="578">
        <v>0</v>
      </c>
      <c r="AZ34" s="578">
        <v>27658.18</v>
      </c>
      <c r="BA34" s="578">
        <v>8200</v>
      </c>
      <c r="BB34" s="578">
        <v>0</v>
      </c>
      <c r="BC34" s="578">
        <v>40518.870000000003</v>
      </c>
      <c r="BD34" s="578">
        <v>98077.43</v>
      </c>
      <c r="BE34" s="578">
        <v>122727.51</v>
      </c>
      <c r="BF34" s="578">
        <v>32744.27</v>
      </c>
      <c r="BG34" s="578">
        <v>0</v>
      </c>
      <c r="BH34" s="578">
        <v>0</v>
      </c>
      <c r="BI34" s="578">
        <v>1530</v>
      </c>
      <c r="BJ34" s="578">
        <v>0</v>
      </c>
      <c r="BK34" s="578">
        <v>0</v>
      </c>
      <c r="BL34" s="578">
        <v>8424.6200000000008</v>
      </c>
      <c r="BM34" s="578">
        <v>0</v>
      </c>
      <c r="BN34" s="578">
        <v>0</v>
      </c>
      <c r="BO34" s="578">
        <v>10000</v>
      </c>
      <c r="BP34" s="578">
        <v>0</v>
      </c>
      <c r="BQ34" s="578">
        <v>0</v>
      </c>
      <c r="BR34" s="578">
        <v>0</v>
      </c>
      <c r="BS34" s="578">
        <v>0</v>
      </c>
      <c r="BT34" s="578">
        <v>0</v>
      </c>
      <c r="BU34" s="578">
        <v>291235.68</v>
      </c>
      <c r="BV34" s="578">
        <v>11924.12</v>
      </c>
      <c r="BW34" s="578">
        <v>0</v>
      </c>
      <c r="BX34" s="578">
        <v>0</v>
      </c>
      <c r="BY34" s="578">
        <v>0</v>
      </c>
      <c r="BZ34" s="578">
        <v>2604060.1</v>
      </c>
      <c r="CA34" s="578">
        <v>2708520.35</v>
      </c>
      <c r="CB34" s="578">
        <v>8424.6200000000008</v>
      </c>
      <c r="CC34" s="578">
        <v>0</v>
      </c>
      <c r="CD34" s="578">
        <v>303159.8</v>
      </c>
    </row>
    <row r="35" spans="1:82" hidden="1" x14ac:dyDescent="0.3">
      <c r="A35" s="574" t="s">
        <v>1620</v>
      </c>
      <c r="B35" s="577">
        <v>3302246</v>
      </c>
      <c r="C35" s="574">
        <f>_xlfn.XLOOKUP(B35,'[1]Blade-Export_15-08-2022_sources'!B:B,'[1]Blade-Export_15-08-2022_sources'!F:F,0,FALSE)</f>
        <v>330</v>
      </c>
      <c r="D35" s="574">
        <f>_xlfn.XLOOKUP($B35,'[1]Blade-Export_15-08-2022_sources'!$B:$B,'[1]Blade-Export_15-08-2022_sources'!G:G,0,FALSE)</f>
        <v>2246</v>
      </c>
      <c r="E35" s="574" t="str">
        <f>_xlfn.XLOOKUP($B35,'[1]Blade-Export_15-08-2022_sources'!$B:$B,'[1]Blade-Export_15-08-2022_sources'!H:H,0,FALSE)</f>
        <v xml:space="preserve">MEADOWS JI </v>
      </c>
      <c r="F35" s="578">
        <v>255594.35</v>
      </c>
      <c r="G35" s="578">
        <v>0</v>
      </c>
      <c r="H35" s="578">
        <v>4072.63</v>
      </c>
      <c r="I35" s="578">
        <v>2981285.16</v>
      </c>
      <c r="J35" s="578">
        <v>0</v>
      </c>
      <c r="K35" s="578">
        <v>193359.48</v>
      </c>
      <c r="L35" s="578">
        <v>0</v>
      </c>
      <c r="M35" s="578">
        <v>400325</v>
      </c>
      <c r="N35" s="578">
        <v>9997.9699999999993</v>
      </c>
      <c r="O35" s="578">
        <v>0</v>
      </c>
      <c r="P35" s="578">
        <v>181606.7</v>
      </c>
      <c r="Q35" s="578">
        <v>357.83</v>
      </c>
      <c r="R35" s="578">
        <v>0</v>
      </c>
      <c r="S35" s="578">
        <v>0</v>
      </c>
      <c r="T35" s="578">
        <v>0</v>
      </c>
      <c r="U35" s="578">
        <v>30078.63</v>
      </c>
      <c r="V35" s="578">
        <v>0</v>
      </c>
      <c r="W35" s="578"/>
      <c r="X35" s="578">
        <v>0</v>
      </c>
      <c r="Y35" s="578">
        <v>0</v>
      </c>
      <c r="Z35" s="578">
        <v>0</v>
      </c>
      <c r="AA35" s="578">
        <v>0</v>
      </c>
      <c r="AB35" s="578">
        <v>33137.589999999997</v>
      </c>
      <c r="AC35" s="578">
        <v>22900</v>
      </c>
      <c r="AD35" s="578">
        <v>93227</v>
      </c>
      <c r="AE35" s="578">
        <v>1905226.8</v>
      </c>
      <c r="AF35" s="578">
        <v>13605.52</v>
      </c>
      <c r="AG35" s="578">
        <v>573714.37</v>
      </c>
      <c r="AH35" s="578">
        <v>92656.37</v>
      </c>
      <c r="AI35" s="578">
        <v>323771.78999999998</v>
      </c>
      <c r="AJ35" s="578">
        <v>0</v>
      </c>
      <c r="AK35" s="578">
        <v>100579.6</v>
      </c>
      <c r="AL35" s="578">
        <v>3936.1</v>
      </c>
      <c r="AM35" s="578">
        <v>6904</v>
      </c>
      <c r="AN35" s="578">
        <v>0</v>
      </c>
      <c r="AO35" s="578">
        <v>0</v>
      </c>
      <c r="AP35" s="578">
        <v>29839.73</v>
      </c>
      <c r="AQ35" s="578">
        <v>3090.69</v>
      </c>
      <c r="AR35" s="578">
        <v>7810.86</v>
      </c>
      <c r="AS35" s="578">
        <v>19603.650000000001</v>
      </c>
      <c r="AT35" s="578">
        <v>42592.57</v>
      </c>
      <c r="AU35" s="578">
        <v>26242.560000000001</v>
      </c>
      <c r="AV35" s="578">
        <v>14729.08</v>
      </c>
      <c r="AW35" s="578">
        <v>133872.81</v>
      </c>
      <c r="AX35" s="578">
        <v>18388.98</v>
      </c>
      <c r="AY35" s="578">
        <v>0</v>
      </c>
      <c r="AZ35" s="578">
        <v>50393.52</v>
      </c>
      <c r="BA35" s="578">
        <v>16230</v>
      </c>
      <c r="BB35" s="578">
        <v>0</v>
      </c>
      <c r="BC35" s="578">
        <v>45967.41</v>
      </c>
      <c r="BD35" s="578">
        <v>212655.43</v>
      </c>
      <c r="BE35" s="578">
        <v>1518.91</v>
      </c>
      <c r="BF35" s="578">
        <v>217642.02</v>
      </c>
      <c r="BG35" s="578">
        <v>0</v>
      </c>
      <c r="BH35" s="578">
        <v>0</v>
      </c>
      <c r="BI35" s="578">
        <v>36695</v>
      </c>
      <c r="BJ35" s="578">
        <v>0</v>
      </c>
      <c r="BK35" s="578">
        <v>0</v>
      </c>
      <c r="BL35" s="578">
        <v>11132.5</v>
      </c>
      <c r="BM35" s="578">
        <v>0</v>
      </c>
      <c r="BN35" s="578">
        <v>0</v>
      </c>
      <c r="BO35" s="578">
        <v>10000</v>
      </c>
      <c r="BP35" s="578">
        <v>0</v>
      </c>
      <c r="BQ35" s="578">
        <v>0</v>
      </c>
      <c r="BR35" s="578">
        <v>0</v>
      </c>
      <c r="BS35" s="578">
        <v>0</v>
      </c>
      <c r="BT35" s="578">
        <v>0</v>
      </c>
      <c r="BU35" s="578">
        <v>304201.95</v>
      </c>
      <c r="BV35" s="578">
        <v>15205.13</v>
      </c>
      <c r="BW35" s="578">
        <v>0</v>
      </c>
      <c r="BX35" s="578">
        <v>0</v>
      </c>
      <c r="BY35" s="578">
        <v>0</v>
      </c>
      <c r="BZ35" s="578">
        <v>3946275.36</v>
      </c>
      <c r="CA35" s="578">
        <v>3897667.77</v>
      </c>
      <c r="CB35" s="578">
        <v>11132.5</v>
      </c>
      <c r="CC35" s="578">
        <v>0</v>
      </c>
      <c r="CD35" s="578">
        <v>319407.08</v>
      </c>
    </row>
    <row r="36" spans="1:82" hidden="1" x14ac:dyDescent="0.3">
      <c r="A36" s="574" t="s">
        <v>1621</v>
      </c>
      <c r="B36" s="577">
        <v>3307035</v>
      </c>
      <c r="C36" s="574">
        <f>_xlfn.XLOOKUP(B36,'[1]Blade-Export_15-08-2022_sources'!B:B,'[1]Blade-Export_15-08-2022_sources'!F:F,0,FALSE)</f>
        <v>330</v>
      </c>
      <c r="D36" s="574">
        <f>_xlfn.XLOOKUP($B36,'[1]Blade-Export_15-08-2022_sources'!$B:$B,'[1]Blade-Export_15-08-2022_sources'!G:G,0,FALSE)</f>
        <v>7035</v>
      </c>
      <c r="E36" s="574" t="str">
        <f>_xlfn.XLOOKUP($B36,'[1]Blade-Export_15-08-2022_sources'!$B:$B,'[1]Blade-Export_15-08-2022_sources'!H:H,0,FALSE)</f>
        <v>DAME ELLEN PINSENT Spec</v>
      </c>
      <c r="F36" s="578">
        <v>555175.06999999995</v>
      </c>
      <c r="G36" s="578">
        <v>0</v>
      </c>
      <c r="H36" s="578">
        <v>47225.25</v>
      </c>
      <c r="I36" s="578">
        <v>2608527.1</v>
      </c>
      <c r="J36" s="578">
        <v>0</v>
      </c>
      <c r="K36" s="578">
        <v>0</v>
      </c>
      <c r="L36" s="578">
        <v>0</v>
      </c>
      <c r="M36" s="578">
        <v>118635</v>
      </c>
      <c r="N36" s="578">
        <v>7556.72</v>
      </c>
      <c r="O36" s="578">
        <v>0</v>
      </c>
      <c r="P36" s="578">
        <v>71359.37</v>
      </c>
      <c r="Q36" s="578">
        <v>750.06</v>
      </c>
      <c r="R36" s="578">
        <v>958.95</v>
      </c>
      <c r="S36" s="578">
        <v>0</v>
      </c>
      <c r="T36" s="578">
        <v>0</v>
      </c>
      <c r="U36" s="578">
        <v>1378.8</v>
      </c>
      <c r="V36" s="578">
        <v>0</v>
      </c>
      <c r="W36" s="578"/>
      <c r="X36" s="578">
        <v>0</v>
      </c>
      <c r="Y36" s="578">
        <v>0</v>
      </c>
      <c r="Z36" s="578">
        <v>0</v>
      </c>
      <c r="AA36" s="578">
        <v>0</v>
      </c>
      <c r="AB36" s="578">
        <v>19283.28</v>
      </c>
      <c r="AC36" s="578">
        <v>15100</v>
      </c>
      <c r="AD36" s="578">
        <v>28591</v>
      </c>
      <c r="AE36" s="578">
        <v>923925.99</v>
      </c>
      <c r="AF36" s="578">
        <v>0</v>
      </c>
      <c r="AG36" s="578">
        <v>885587.63</v>
      </c>
      <c r="AH36" s="578">
        <v>62049.48</v>
      </c>
      <c r="AI36" s="578">
        <v>204646.95</v>
      </c>
      <c r="AJ36" s="578">
        <v>6.9</v>
      </c>
      <c r="AK36" s="578">
        <v>29262.560000000001</v>
      </c>
      <c r="AL36" s="578">
        <v>4118.74</v>
      </c>
      <c r="AM36" s="578">
        <v>7240.99</v>
      </c>
      <c r="AN36" s="578">
        <v>0</v>
      </c>
      <c r="AO36" s="578">
        <v>0</v>
      </c>
      <c r="AP36" s="578">
        <v>83559.320000000007</v>
      </c>
      <c r="AQ36" s="578">
        <v>4176.58</v>
      </c>
      <c r="AR36" s="578">
        <v>7149.96</v>
      </c>
      <c r="AS36" s="578">
        <v>6905.28</v>
      </c>
      <c r="AT36" s="578">
        <v>8370.8799999999992</v>
      </c>
      <c r="AU36" s="578">
        <v>0</v>
      </c>
      <c r="AV36" s="578">
        <v>14572.2</v>
      </c>
      <c r="AW36" s="578">
        <v>115836.63</v>
      </c>
      <c r="AX36" s="578">
        <v>29273.7</v>
      </c>
      <c r="AY36" s="578">
        <v>0</v>
      </c>
      <c r="AZ36" s="578">
        <v>28288.06</v>
      </c>
      <c r="BA36" s="578">
        <v>4450</v>
      </c>
      <c r="BB36" s="578">
        <v>0</v>
      </c>
      <c r="BC36" s="578">
        <v>15887</v>
      </c>
      <c r="BD36" s="578">
        <v>126664.8</v>
      </c>
      <c r="BE36" s="578">
        <v>1687.58</v>
      </c>
      <c r="BF36" s="578">
        <v>231155.6</v>
      </c>
      <c r="BG36" s="578">
        <v>0</v>
      </c>
      <c r="BH36" s="578">
        <v>0</v>
      </c>
      <c r="BI36" s="578">
        <v>95993.63</v>
      </c>
      <c r="BJ36" s="578">
        <v>0</v>
      </c>
      <c r="BK36" s="578">
        <v>0</v>
      </c>
      <c r="BL36" s="578">
        <v>11492.5</v>
      </c>
      <c r="BM36" s="578">
        <v>0</v>
      </c>
      <c r="BN36" s="578">
        <v>0</v>
      </c>
      <c r="BO36" s="578">
        <v>10000</v>
      </c>
      <c r="BP36" s="578">
        <v>0</v>
      </c>
      <c r="BQ36" s="578">
        <v>12150</v>
      </c>
      <c r="BR36" s="578">
        <v>0</v>
      </c>
      <c r="BS36" s="578">
        <v>0</v>
      </c>
      <c r="BT36" s="578">
        <v>0</v>
      </c>
      <c r="BU36" s="578">
        <v>536504.89</v>
      </c>
      <c r="BV36" s="578">
        <v>46567.75</v>
      </c>
      <c r="BW36" s="578">
        <v>0</v>
      </c>
      <c r="BX36" s="578">
        <v>0</v>
      </c>
      <c r="BY36" s="578">
        <v>0</v>
      </c>
      <c r="BZ36" s="578">
        <v>2872140.28</v>
      </c>
      <c r="CA36" s="578">
        <v>2890810.46</v>
      </c>
      <c r="CB36" s="578">
        <v>11492.5</v>
      </c>
      <c r="CC36" s="578">
        <v>12150</v>
      </c>
      <c r="CD36" s="578">
        <v>583072.64</v>
      </c>
    </row>
    <row r="37" spans="1:82" hidden="1" x14ac:dyDescent="0.3">
      <c r="A37" s="574" t="s">
        <v>1622</v>
      </c>
      <c r="B37" s="577">
        <v>3304237</v>
      </c>
      <c r="C37" s="574">
        <f>_xlfn.XLOOKUP(B37,'[1]Blade-Export_15-08-2022_sources'!B:B,'[1]Blade-Export_15-08-2022_sources'!F:F,0,FALSE)</f>
        <v>330</v>
      </c>
      <c r="D37" s="574">
        <f>_xlfn.XLOOKUP($B37,'[1]Blade-Export_15-08-2022_sources'!$B:$B,'[1]Blade-Export_15-08-2022_sources'!G:G,0,FALSE)</f>
        <v>4237</v>
      </c>
      <c r="E37" s="574" t="str">
        <f>_xlfn.XLOOKUP($B37,'[1]Blade-Export_15-08-2022_sources'!$B:$B,'[1]Blade-Export_15-08-2022_sources'!H:H,0,FALSE)</f>
        <v xml:space="preserve">SWANSHURST Sec (16+) </v>
      </c>
      <c r="F37" s="578">
        <v>2391338.9500000002</v>
      </c>
      <c r="G37" s="578">
        <v>0</v>
      </c>
      <c r="H37" s="578">
        <v>36164.43</v>
      </c>
      <c r="I37" s="578">
        <v>9643374.0700000003</v>
      </c>
      <c r="J37" s="578">
        <v>1530651.28</v>
      </c>
      <c r="K37" s="578">
        <v>21044.54</v>
      </c>
      <c r="L37" s="578">
        <v>0</v>
      </c>
      <c r="M37" s="578">
        <v>695537</v>
      </c>
      <c r="N37" s="578">
        <v>33923.129999999997</v>
      </c>
      <c r="O37" s="578">
        <v>0</v>
      </c>
      <c r="P37" s="578">
        <v>608034.12</v>
      </c>
      <c r="Q37" s="578">
        <v>0</v>
      </c>
      <c r="R37" s="578">
        <v>128841.8</v>
      </c>
      <c r="S37" s="578">
        <v>0</v>
      </c>
      <c r="T37" s="578">
        <v>0</v>
      </c>
      <c r="U37" s="578">
        <v>20820.349999999999</v>
      </c>
      <c r="V37" s="578">
        <v>0</v>
      </c>
      <c r="W37" s="578"/>
      <c r="X37" s="578">
        <v>0</v>
      </c>
      <c r="Y37" s="578">
        <v>0</v>
      </c>
      <c r="Z37" s="578">
        <v>0</v>
      </c>
      <c r="AA37" s="578">
        <v>0</v>
      </c>
      <c r="AB37" s="578">
        <v>117846.25</v>
      </c>
      <c r="AC37" s="578">
        <v>52160</v>
      </c>
      <c r="AD37" s="578">
        <v>0</v>
      </c>
      <c r="AE37" s="578">
        <v>7097772.4500000002</v>
      </c>
      <c r="AF37" s="578">
        <v>0</v>
      </c>
      <c r="AG37" s="578">
        <v>864701.22</v>
      </c>
      <c r="AH37" s="578">
        <v>320011.51</v>
      </c>
      <c r="AI37" s="578">
        <v>780781.68</v>
      </c>
      <c r="AJ37" s="578">
        <v>156720.73000000001</v>
      </c>
      <c r="AK37" s="578">
        <v>27202.03</v>
      </c>
      <c r="AL37" s="578">
        <v>38053.33</v>
      </c>
      <c r="AM37" s="578">
        <v>13671.44</v>
      </c>
      <c r="AN37" s="578">
        <v>0</v>
      </c>
      <c r="AO37" s="578">
        <v>3414.5</v>
      </c>
      <c r="AP37" s="578">
        <v>434534.05</v>
      </c>
      <c r="AQ37" s="578">
        <v>11979.96</v>
      </c>
      <c r="AR37" s="578">
        <v>1804.7</v>
      </c>
      <c r="AS37" s="578">
        <v>19925.740000000002</v>
      </c>
      <c r="AT37" s="578">
        <v>160408.89000000001</v>
      </c>
      <c r="AU37" s="578">
        <v>169804.79999999999</v>
      </c>
      <c r="AV37" s="578">
        <v>38094.29</v>
      </c>
      <c r="AW37" s="578">
        <v>390664.22</v>
      </c>
      <c r="AX37" s="578">
        <v>70220.31</v>
      </c>
      <c r="AY37" s="578">
        <v>143295.75</v>
      </c>
      <c r="AZ37" s="578">
        <v>54992.45</v>
      </c>
      <c r="BA37" s="578">
        <v>41100</v>
      </c>
      <c r="BB37" s="578">
        <v>0</v>
      </c>
      <c r="BC37" s="578">
        <v>243304.16</v>
      </c>
      <c r="BD37" s="578">
        <v>112815.96</v>
      </c>
      <c r="BE37" s="578">
        <v>222525.54</v>
      </c>
      <c r="BF37" s="578">
        <v>95887.85</v>
      </c>
      <c r="BG37" s="578">
        <v>0</v>
      </c>
      <c r="BH37" s="578">
        <v>1435.8</v>
      </c>
      <c r="BI37" s="578">
        <v>707803.11</v>
      </c>
      <c r="BJ37" s="578">
        <v>0</v>
      </c>
      <c r="BK37" s="578">
        <v>0</v>
      </c>
      <c r="BL37" s="578">
        <v>36374.69</v>
      </c>
      <c r="BM37" s="578">
        <v>0</v>
      </c>
      <c r="BN37" s="578">
        <v>0</v>
      </c>
      <c r="BO37" s="578">
        <v>10000</v>
      </c>
      <c r="BP37" s="578">
        <v>0</v>
      </c>
      <c r="BQ37" s="578">
        <v>0</v>
      </c>
      <c r="BR37" s="578">
        <v>0</v>
      </c>
      <c r="BS37" s="578">
        <v>0</v>
      </c>
      <c r="BT37" s="578">
        <v>0</v>
      </c>
      <c r="BU37" s="578">
        <v>3020645.02</v>
      </c>
      <c r="BV37" s="578">
        <v>72539.12</v>
      </c>
      <c r="BW37" s="578">
        <v>0</v>
      </c>
      <c r="BX37" s="578">
        <v>0</v>
      </c>
      <c r="BY37" s="578">
        <v>0</v>
      </c>
      <c r="BZ37" s="578">
        <v>12852232.539999999</v>
      </c>
      <c r="CA37" s="578">
        <v>12222926.470000001</v>
      </c>
      <c r="CB37" s="578">
        <v>36374.69</v>
      </c>
      <c r="CC37" s="578">
        <v>0</v>
      </c>
      <c r="CD37" s="578">
        <v>3093184.14</v>
      </c>
    </row>
    <row r="38" spans="1:82" hidden="1" x14ac:dyDescent="0.3">
      <c r="A38" s="574" t="s">
        <v>1623</v>
      </c>
      <c r="B38" s="577">
        <v>3302190</v>
      </c>
      <c r="C38" s="574">
        <f>_xlfn.XLOOKUP(B38,'[1]Blade-Export_15-08-2022_sources'!B:B,'[1]Blade-Export_15-08-2022_sources'!F:F,0,FALSE)</f>
        <v>330</v>
      </c>
      <c r="D38" s="574">
        <f>_xlfn.XLOOKUP($B38,'[1]Blade-Export_15-08-2022_sources'!$B:$B,'[1]Blade-Export_15-08-2022_sources'!G:G,0,FALSE)</f>
        <v>2190</v>
      </c>
      <c r="E38" s="574" t="str">
        <f>_xlfn.XLOOKUP($B38,'[1]Blade-Export_15-08-2022_sources'!$B:$B,'[1]Blade-Export_15-08-2022_sources'!H:H,0,FALSE)</f>
        <v xml:space="preserve">SUNDRIDGE JI </v>
      </c>
      <c r="F38" s="578">
        <v>202500.92</v>
      </c>
      <c r="G38" s="578">
        <v>0</v>
      </c>
      <c r="H38" s="578">
        <v>-2907.31</v>
      </c>
      <c r="I38" s="578">
        <v>975494.5</v>
      </c>
      <c r="J38" s="578">
        <v>0</v>
      </c>
      <c r="K38" s="578">
        <v>15952.39</v>
      </c>
      <c r="L38" s="578">
        <v>0</v>
      </c>
      <c r="M38" s="578">
        <v>157295</v>
      </c>
      <c r="N38" s="578">
        <v>3307.5</v>
      </c>
      <c r="O38" s="578">
        <v>0</v>
      </c>
      <c r="P38" s="578">
        <v>34676</v>
      </c>
      <c r="Q38" s="578">
        <v>283.5</v>
      </c>
      <c r="R38" s="578">
        <v>0</v>
      </c>
      <c r="S38" s="578">
        <v>0</v>
      </c>
      <c r="T38" s="578">
        <v>0</v>
      </c>
      <c r="U38" s="578">
        <v>0</v>
      </c>
      <c r="V38" s="578">
        <v>0</v>
      </c>
      <c r="W38" s="578"/>
      <c r="X38" s="578">
        <v>0</v>
      </c>
      <c r="Y38" s="578">
        <v>0</v>
      </c>
      <c r="Z38" s="578">
        <v>0</v>
      </c>
      <c r="AA38" s="578">
        <v>0</v>
      </c>
      <c r="AB38" s="578">
        <v>12700</v>
      </c>
      <c r="AC38" s="578">
        <v>6260</v>
      </c>
      <c r="AD38" s="578">
        <v>31997</v>
      </c>
      <c r="AE38" s="578">
        <v>557763.56999999995</v>
      </c>
      <c r="AF38" s="578">
        <v>0</v>
      </c>
      <c r="AG38" s="578">
        <v>153175.60999999999</v>
      </c>
      <c r="AH38" s="578">
        <v>24726.77</v>
      </c>
      <c r="AI38" s="578">
        <v>85342.399999999994</v>
      </c>
      <c r="AJ38" s="578">
        <v>0</v>
      </c>
      <c r="AK38" s="578">
        <v>24591.3</v>
      </c>
      <c r="AL38" s="578">
        <v>1702.84</v>
      </c>
      <c r="AM38" s="578">
        <v>3023.5</v>
      </c>
      <c r="AN38" s="578">
        <v>0</v>
      </c>
      <c r="AO38" s="578">
        <v>0</v>
      </c>
      <c r="AP38" s="578">
        <v>34426.14</v>
      </c>
      <c r="AQ38" s="578">
        <v>4591</v>
      </c>
      <c r="AR38" s="578">
        <v>2856.33</v>
      </c>
      <c r="AS38" s="578">
        <v>1869.59</v>
      </c>
      <c r="AT38" s="578">
        <v>12929.21</v>
      </c>
      <c r="AU38" s="578">
        <v>21062.79</v>
      </c>
      <c r="AV38" s="578">
        <v>6324.82</v>
      </c>
      <c r="AW38" s="578">
        <v>38863.35</v>
      </c>
      <c r="AX38" s="578">
        <v>10309.57</v>
      </c>
      <c r="AY38" s="578">
        <v>0</v>
      </c>
      <c r="AZ38" s="578">
        <v>12994.11</v>
      </c>
      <c r="BA38" s="578">
        <v>4450</v>
      </c>
      <c r="BB38" s="578">
        <v>0</v>
      </c>
      <c r="BC38" s="578">
        <v>40171.96</v>
      </c>
      <c r="BD38" s="578">
        <v>34202.699999999997</v>
      </c>
      <c r="BE38" s="578">
        <v>8274</v>
      </c>
      <c r="BF38" s="578">
        <v>55885.94</v>
      </c>
      <c r="BG38" s="578">
        <v>0</v>
      </c>
      <c r="BH38" s="578">
        <v>0</v>
      </c>
      <c r="BI38" s="578">
        <v>7228.13</v>
      </c>
      <c r="BJ38" s="578">
        <v>0</v>
      </c>
      <c r="BK38" s="578">
        <v>0</v>
      </c>
      <c r="BL38" s="578">
        <v>6058.75</v>
      </c>
      <c r="BM38" s="578">
        <v>0</v>
      </c>
      <c r="BN38" s="578">
        <v>0</v>
      </c>
      <c r="BO38" s="578">
        <v>10000</v>
      </c>
      <c r="BP38" s="578">
        <v>0</v>
      </c>
      <c r="BQ38" s="578">
        <v>0</v>
      </c>
      <c r="BR38" s="578">
        <v>0</v>
      </c>
      <c r="BS38" s="578">
        <v>0</v>
      </c>
      <c r="BT38" s="578">
        <v>0</v>
      </c>
      <c r="BU38" s="578">
        <v>293701.19</v>
      </c>
      <c r="BV38" s="578">
        <v>3151.44</v>
      </c>
      <c r="BW38" s="578">
        <v>0</v>
      </c>
      <c r="BX38" s="578">
        <v>0</v>
      </c>
      <c r="BY38" s="578">
        <v>0</v>
      </c>
      <c r="BZ38" s="578">
        <v>1237965.8899999999</v>
      </c>
      <c r="CA38" s="578">
        <v>1146765.6299999999</v>
      </c>
      <c r="CB38" s="578">
        <v>6058.75</v>
      </c>
      <c r="CC38" s="578">
        <v>0</v>
      </c>
      <c r="CD38" s="578">
        <v>296852.63</v>
      </c>
    </row>
    <row r="39" spans="1:82" hidden="1" x14ac:dyDescent="0.3">
      <c r="A39" s="574" t="s">
        <v>1624</v>
      </c>
      <c r="B39" s="577">
        <v>3302067</v>
      </c>
      <c r="C39" s="574">
        <f>_xlfn.XLOOKUP(B39,'[1]Blade-Export_15-08-2022_sources'!B:B,'[1]Blade-Export_15-08-2022_sources'!F:F,0,FALSE)</f>
        <v>330</v>
      </c>
      <c r="D39" s="574">
        <f>_xlfn.XLOOKUP($B39,'[1]Blade-Export_15-08-2022_sources'!$B:$B,'[1]Blade-Export_15-08-2022_sources'!G:G,0,FALSE)</f>
        <v>2067</v>
      </c>
      <c r="E39" s="574" t="str">
        <f>_xlfn.XLOOKUP($B39,'[1]Blade-Export_15-08-2022_sources'!$B:$B,'[1]Blade-Export_15-08-2022_sources'!H:H,0,FALSE)</f>
        <v>SUMMERFIELD JI NC</v>
      </c>
      <c r="F39" s="578">
        <v>430451.96</v>
      </c>
      <c r="G39" s="578">
        <v>0</v>
      </c>
      <c r="H39" s="578">
        <v>10619.13</v>
      </c>
      <c r="I39" s="578">
        <v>2223381.2799999998</v>
      </c>
      <c r="J39" s="578">
        <v>0</v>
      </c>
      <c r="K39" s="578">
        <v>0</v>
      </c>
      <c r="L39" s="578">
        <v>0</v>
      </c>
      <c r="M39" s="578">
        <v>248825</v>
      </c>
      <c r="N39" s="578">
        <v>5729.06</v>
      </c>
      <c r="O39" s="578">
        <v>0</v>
      </c>
      <c r="P39" s="578">
        <v>86333.36</v>
      </c>
      <c r="Q39" s="578">
        <v>542.80999999999995</v>
      </c>
      <c r="R39" s="578">
        <v>0</v>
      </c>
      <c r="S39" s="578">
        <v>0</v>
      </c>
      <c r="T39" s="578">
        <v>0</v>
      </c>
      <c r="U39" s="578">
        <v>2129.87</v>
      </c>
      <c r="V39" s="578">
        <v>0</v>
      </c>
      <c r="W39" s="578"/>
      <c r="X39" s="578">
        <v>0</v>
      </c>
      <c r="Y39" s="578">
        <v>0</v>
      </c>
      <c r="Z39" s="578">
        <v>0</v>
      </c>
      <c r="AA39" s="578">
        <v>0</v>
      </c>
      <c r="AB39" s="578">
        <v>20341.560000000001</v>
      </c>
      <c r="AC39" s="578">
        <v>12660</v>
      </c>
      <c r="AD39" s="578">
        <v>54946</v>
      </c>
      <c r="AE39" s="578">
        <v>1156419.52</v>
      </c>
      <c r="AF39" s="578">
        <v>0</v>
      </c>
      <c r="AG39" s="578">
        <v>176263.16</v>
      </c>
      <c r="AH39" s="578">
        <v>72917.22</v>
      </c>
      <c r="AI39" s="578">
        <v>252565.29</v>
      </c>
      <c r="AJ39" s="578">
        <v>1581.16</v>
      </c>
      <c r="AK39" s="578">
        <v>56802.18</v>
      </c>
      <c r="AL39" s="578">
        <v>2447.8000000000002</v>
      </c>
      <c r="AM39" s="578">
        <v>9704.2000000000007</v>
      </c>
      <c r="AN39" s="578">
        <v>0</v>
      </c>
      <c r="AO39" s="578">
        <v>0</v>
      </c>
      <c r="AP39" s="578">
        <v>128300.12</v>
      </c>
      <c r="AQ39" s="578">
        <v>1821.59</v>
      </c>
      <c r="AR39" s="578">
        <v>6134.93</v>
      </c>
      <c r="AS39" s="578">
        <v>2993.15</v>
      </c>
      <c r="AT39" s="578">
        <v>27612.720000000001</v>
      </c>
      <c r="AU39" s="578">
        <v>37048.32</v>
      </c>
      <c r="AV39" s="578">
        <v>11093.2</v>
      </c>
      <c r="AW39" s="578">
        <v>64267.39</v>
      </c>
      <c r="AX39" s="578">
        <v>11349.48</v>
      </c>
      <c r="AY39" s="578">
        <v>0</v>
      </c>
      <c r="AZ39" s="578">
        <v>22804.19</v>
      </c>
      <c r="BA39" s="578">
        <v>8200</v>
      </c>
      <c r="BB39" s="578">
        <v>0</v>
      </c>
      <c r="BC39" s="578">
        <v>13671.29</v>
      </c>
      <c r="BD39" s="578">
        <v>219830.24</v>
      </c>
      <c r="BE39" s="578">
        <v>1233.31</v>
      </c>
      <c r="BF39" s="578">
        <v>321351.64</v>
      </c>
      <c r="BG39" s="578">
        <v>0</v>
      </c>
      <c r="BH39" s="578">
        <v>0</v>
      </c>
      <c r="BI39" s="578">
        <v>90663.99</v>
      </c>
      <c r="BJ39" s="578">
        <v>0</v>
      </c>
      <c r="BK39" s="578">
        <v>0</v>
      </c>
      <c r="BL39" s="578">
        <v>8511.25</v>
      </c>
      <c r="BM39" s="578">
        <v>0</v>
      </c>
      <c r="BN39" s="578">
        <v>0</v>
      </c>
      <c r="BO39" s="578">
        <v>10000</v>
      </c>
      <c r="BP39" s="578">
        <v>0</v>
      </c>
      <c r="BQ39" s="578">
        <v>1867.64</v>
      </c>
      <c r="BR39" s="578">
        <v>0</v>
      </c>
      <c r="BS39" s="578">
        <v>0</v>
      </c>
      <c r="BT39" s="578">
        <v>0</v>
      </c>
      <c r="BU39" s="578">
        <v>388264.81</v>
      </c>
      <c r="BV39" s="578">
        <v>17262.740000000002</v>
      </c>
      <c r="BW39" s="578">
        <v>0</v>
      </c>
      <c r="BX39" s="578">
        <v>0</v>
      </c>
      <c r="BY39" s="578">
        <v>0</v>
      </c>
      <c r="BZ39" s="578">
        <v>2654888.94</v>
      </c>
      <c r="CA39" s="578">
        <v>2697076.09</v>
      </c>
      <c r="CB39" s="578">
        <v>8511.25</v>
      </c>
      <c r="CC39" s="578">
        <v>1867.64</v>
      </c>
      <c r="CD39" s="578">
        <v>405527.55</v>
      </c>
    </row>
    <row r="40" spans="1:82" hidden="1" x14ac:dyDescent="0.3">
      <c r="A40" s="574" t="s">
        <v>1625</v>
      </c>
      <c r="B40" s="577">
        <v>3302184</v>
      </c>
      <c r="C40" s="574">
        <f>_xlfn.XLOOKUP(B40,'[1]Blade-Export_15-08-2022_sources'!B:B,'[1]Blade-Export_15-08-2022_sources'!F:F,0,FALSE)</f>
        <v>330</v>
      </c>
      <c r="D40" s="574">
        <f>_xlfn.XLOOKUP($B40,'[1]Blade-Export_15-08-2022_sources'!$B:$B,'[1]Blade-Export_15-08-2022_sources'!G:G,0,FALSE)</f>
        <v>2184</v>
      </c>
      <c r="E40" s="574" t="str">
        <f>_xlfn.XLOOKUP($B40,'[1]Blade-Export_15-08-2022_sources'!$B:$B,'[1]Blade-Export_15-08-2022_sources'!H:H,0,FALSE)</f>
        <v>STECHFORD JI NC</v>
      </c>
      <c r="F40" s="578">
        <v>615548.98</v>
      </c>
      <c r="G40" s="578">
        <v>0</v>
      </c>
      <c r="H40" s="578">
        <v>6551.19</v>
      </c>
      <c r="I40" s="578">
        <v>2056378.02</v>
      </c>
      <c r="J40" s="578">
        <v>0</v>
      </c>
      <c r="K40" s="578">
        <v>21696.83</v>
      </c>
      <c r="L40" s="578">
        <v>0</v>
      </c>
      <c r="M40" s="578">
        <v>164745</v>
      </c>
      <c r="N40" s="578">
        <v>3957.19</v>
      </c>
      <c r="O40" s="578">
        <v>0</v>
      </c>
      <c r="P40" s="578">
        <v>39247.449999999997</v>
      </c>
      <c r="Q40" s="578">
        <v>861.77</v>
      </c>
      <c r="R40" s="578">
        <v>0</v>
      </c>
      <c r="S40" s="578">
        <v>0</v>
      </c>
      <c r="T40" s="578">
        <v>0</v>
      </c>
      <c r="U40" s="578">
        <v>2007.62</v>
      </c>
      <c r="V40" s="578">
        <v>0</v>
      </c>
      <c r="W40" s="578"/>
      <c r="X40" s="578">
        <v>0</v>
      </c>
      <c r="Y40" s="578">
        <v>0</v>
      </c>
      <c r="Z40" s="578">
        <v>0</v>
      </c>
      <c r="AA40" s="578">
        <v>0</v>
      </c>
      <c r="AB40" s="578">
        <v>12729.69</v>
      </c>
      <c r="AC40" s="578">
        <v>13800</v>
      </c>
      <c r="AD40" s="578">
        <v>72755</v>
      </c>
      <c r="AE40" s="578">
        <v>978591.56</v>
      </c>
      <c r="AF40" s="578">
        <v>0</v>
      </c>
      <c r="AG40" s="578">
        <v>397498.09</v>
      </c>
      <c r="AH40" s="578">
        <v>117573.35</v>
      </c>
      <c r="AI40" s="578">
        <v>196687.56</v>
      </c>
      <c r="AJ40" s="578">
        <v>0</v>
      </c>
      <c r="AK40" s="578">
        <v>65220.17</v>
      </c>
      <c r="AL40" s="578">
        <v>2032.22</v>
      </c>
      <c r="AM40" s="578">
        <v>9797.1200000000008</v>
      </c>
      <c r="AN40" s="578">
        <v>0</v>
      </c>
      <c r="AO40" s="578">
        <v>0</v>
      </c>
      <c r="AP40" s="578">
        <v>61712.53</v>
      </c>
      <c r="AQ40" s="578">
        <v>7243.46</v>
      </c>
      <c r="AR40" s="578">
        <v>3729.24</v>
      </c>
      <c r="AS40" s="578">
        <v>5956.06</v>
      </c>
      <c r="AT40" s="578">
        <v>21779.27</v>
      </c>
      <c r="AU40" s="578">
        <v>29844.48</v>
      </c>
      <c r="AV40" s="578">
        <v>9063.61</v>
      </c>
      <c r="AW40" s="578">
        <v>89285.88</v>
      </c>
      <c r="AX40" s="578">
        <v>7957.84</v>
      </c>
      <c r="AY40" s="578">
        <v>0</v>
      </c>
      <c r="AZ40" s="578">
        <v>29974.29</v>
      </c>
      <c r="BA40" s="578">
        <v>8444</v>
      </c>
      <c r="BB40" s="578">
        <v>0</v>
      </c>
      <c r="BC40" s="578">
        <v>12831.47</v>
      </c>
      <c r="BD40" s="578">
        <v>38476</v>
      </c>
      <c r="BE40" s="578">
        <v>38066.75</v>
      </c>
      <c r="BF40" s="578">
        <v>175051.06</v>
      </c>
      <c r="BG40" s="578">
        <v>0</v>
      </c>
      <c r="BH40" s="578">
        <v>0</v>
      </c>
      <c r="BI40" s="578">
        <v>37534.07</v>
      </c>
      <c r="BJ40" s="578">
        <v>0</v>
      </c>
      <c r="BK40" s="578">
        <v>0</v>
      </c>
      <c r="BL40" s="578">
        <v>8824</v>
      </c>
      <c r="BM40" s="578">
        <v>0</v>
      </c>
      <c r="BN40" s="578">
        <v>0</v>
      </c>
      <c r="BO40" s="578">
        <v>10000</v>
      </c>
      <c r="BP40" s="578">
        <v>0</v>
      </c>
      <c r="BQ40" s="578">
        <v>9000</v>
      </c>
      <c r="BR40" s="578">
        <v>0</v>
      </c>
      <c r="BS40" s="578">
        <v>0</v>
      </c>
      <c r="BT40" s="578">
        <v>0</v>
      </c>
      <c r="BU40" s="578">
        <v>659377.46</v>
      </c>
      <c r="BV40" s="578">
        <v>6375.19</v>
      </c>
      <c r="BW40" s="578">
        <v>0</v>
      </c>
      <c r="BX40" s="578">
        <v>0</v>
      </c>
      <c r="BY40" s="578">
        <v>0</v>
      </c>
      <c r="BZ40" s="578">
        <v>2388178.5699999998</v>
      </c>
      <c r="CA40" s="578">
        <v>2344350.08</v>
      </c>
      <c r="CB40" s="578">
        <v>8824</v>
      </c>
      <c r="CC40" s="578">
        <v>9000</v>
      </c>
      <c r="CD40" s="578">
        <v>665752.65</v>
      </c>
    </row>
    <row r="41" spans="1:82" hidden="1" x14ac:dyDescent="0.3">
      <c r="A41" s="574" t="s">
        <v>1626</v>
      </c>
      <c r="B41" s="577">
        <v>3302178</v>
      </c>
      <c r="C41" s="574">
        <f>_xlfn.XLOOKUP(B41,'[1]Blade-Export_15-08-2022_sources'!B:B,'[1]Blade-Export_15-08-2022_sources'!F:F,0,FALSE)</f>
        <v>330</v>
      </c>
      <c r="D41" s="574">
        <f>_xlfn.XLOOKUP($B41,'[1]Blade-Export_15-08-2022_sources'!$B:$B,'[1]Blade-Export_15-08-2022_sources'!G:G,0,FALSE)</f>
        <v>2178</v>
      </c>
      <c r="E41" s="574" t="str">
        <f>_xlfn.XLOOKUP($B41,'[1]Blade-Export_15-08-2022_sources'!$B:$B,'[1]Blade-Export_15-08-2022_sources'!H:H,0,FALSE)</f>
        <v>STANVILLE JI NC</v>
      </c>
      <c r="F41" s="578">
        <v>236939.45</v>
      </c>
      <c r="G41" s="578">
        <v>0</v>
      </c>
      <c r="H41" s="578">
        <v>2750.44</v>
      </c>
      <c r="I41" s="578">
        <v>1332619.43</v>
      </c>
      <c r="J41" s="578">
        <v>0</v>
      </c>
      <c r="K41" s="578">
        <v>6789.26</v>
      </c>
      <c r="L41" s="578">
        <v>0</v>
      </c>
      <c r="M41" s="578">
        <v>118670</v>
      </c>
      <c r="N41" s="578">
        <v>2835</v>
      </c>
      <c r="O41" s="578">
        <v>0</v>
      </c>
      <c r="P41" s="578">
        <v>903.77</v>
      </c>
      <c r="Q41" s="578">
        <v>177.28</v>
      </c>
      <c r="R41" s="578">
        <v>0</v>
      </c>
      <c r="S41" s="578">
        <v>0</v>
      </c>
      <c r="T41" s="578">
        <v>0</v>
      </c>
      <c r="U41" s="578">
        <v>0</v>
      </c>
      <c r="V41" s="578">
        <v>0</v>
      </c>
      <c r="W41" s="578"/>
      <c r="X41" s="578">
        <v>0</v>
      </c>
      <c r="Y41" s="578">
        <v>0</v>
      </c>
      <c r="Z41" s="578">
        <v>0</v>
      </c>
      <c r="AA41" s="578">
        <v>0</v>
      </c>
      <c r="AB41" s="578">
        <v>9559.49</v>
      </c>
      <c r="AC41" s="578">
        <v>7660</v>
      </c>
      <c r="AD41" s="578">
        <v>33995</v>
      </c>
      <c r="AE41" s="578">
        <v>697506.27</v>
      </c>
      <c r="AF41" s="578">
        <v>0</v>
      </c>
      <c r="AG41" s="578">
        <v>296187.08</v>
      </c>
      <c r="AH41" s="578">
        <v>33206.980000000003</v>
      </c>
      <c r="AI41" s="578">
        <v>161635.78</v>
      </c>
      <c r="AJ41" s="578">
        <v>0</v>
      </c>
      <c r="AK41" s="578">
        <v>13401.59</v>
      </c>
      <c r="AL41" s="578">
        <v>454.7</v>
      </c>
      <c r="AM41" s="578">
        <v>0</v>
      </c>
      <c r="AN41" s="578">
        <v>0</v>
      </c>
      <c r="AO41" s="578">
        <v>0</v>
      </c>
      <c r="AP41" s="578">
        <v>9742.9599999999991</v>
      </c>
      <c r="AQ41" s="578">
        <v>2276.5</v>
      </c>
      <c r="AR41" s="578">
        <v>34500.28</v>
      </c>
      <c r="AS41" s="578">
        <v>4034.68</v>
      </c>
      <c r="AT41" s="578">
        <v>22798.18</v>
      </c>
      <c r="AU41" s="578">
        <v>15922.47</v>
      </c>
      <c r="AV41" s="578">
        <v>6409.7</v>
      </c>
      <c r="AW41" s="578">
        <v>38359.360000000001</v>
      </c>
      <c r="AX41" s="578">
        <v>25031.62</v>
      </c>
      <c r="AY41" s="578">
        <v>0</v>
      </c>
      <c r="AZ41" s="578">
        <v>35438.06</v>
      </c>
      <c r="BA41" s="578">
        <v>4730</v>
      </c>
      <c r="BB41" s="578">
        <v>0</v>
      </c>
      <c r="BC41" s="578">
        <v>12592.85</v>
      </c>
      <c r="BD41" s="578">
        <v>7510</v>
      </c>
      <c r="BE41" s="578">
        <v>7368.91</v>
      </c>
      <c r="BF41" s="578">
        <v>194232.82</v>
      </c>
      <c r="BG41" s="578">
        <v>0</v>
      </c>
      <c r="BH41" s="578">
        <v>0</v>
      </c>
      <c r="BI41" s="578">
        <v>0</v>
      </c>
      <c r="BJ41" s="578">
        <v>0</v>
      </c>
      <c r="BK41" s="578">
        <v>0</v>
      </c>
      <c r="BL41" s="578">
        <v>6877.75</v>
      </c>
      <c r="BM41" s="578">
        <v>0</v>
      </c>
      <c r="BN41" s="578">
        <v>0</v>
      </c>
      <c r="BO41" s="578">
        <v>10000</v>
      </c>
      <c r="BP41" s="578">
        <v>0</v>
      </c>
      <c r="BQ41" s="578">
        <v>3405</v>
      </c>
      <c r="BR41" s="578">
        <v>0</v>
      </c>
      <c r="BS41" s="578">
        <v>0</v>
      </c>
      <c r="BT41" s="578">
        <v>0</v>
      </c>
      <c r="BU41" s="578">
        <v>126807.89</v>
      </c>
      <c r="BV41" s="578">
        <v>6223.19</v>
      </c>
      <c r="BW41" s="578">
        <v>0</v>
      </c>
      <c r="BX41" s="578">
        <v>0</v>
      </c>
      <c r="BY41" s="578">
        <v>0</v>
      </c>
      <c r="BZ41" s="578">
        <v>1513209.23</v>
      </c>
      <c r="CA41" s="578">
        <v>1623340.79</v>
      </c>
      <c r="CB41" s="578">
        <v>6877.75</v>
      </c>
      <c r="CC41" s="578">
        <v>3405</v>
      </c>
      <c r="CD41" s="578">
        <v>133031.07999999999</v>
      </c>
    </row>
    <row r="42" spans="1:82" hidden="1" x14ac:dyDescent="0.3">
      <c r="A42" s="574" t="s">
        <v>1627</v>
      </c>
      <c r="B42" s="577">
        <v>3303310</v>
      </c>
      <c r="C42" s="574">
        <f>_xlfn.XLOOKUP(B42,'[1]Blade-Export_15-08-2022_sources'!B:B,'[1]Blade-Export_15-08-2022_sources'!F:F,0,FALSE)</f>
        <v>330</v>
      </c>
      <c r="D42" s="574">
        <f>_xlfn.XLOOKUP($B42,'[1]Blade-Export_15-08-2022_sources'!$B:$B,'[1]Blade-Export_15-08-2022_sources'!G:G,0,FALSE)</f>
        <v>3310</v>
      </c>
      <c r="E42" s="574" t="str">
        <f>_xlfn.XLOOKUP($B42,'[1]Blade-Export_15-08-2022_sources'!$B:$B,'[1]Blade-Export_15-08-2022_sources'!H:H,0,FALSE)</f>
        <v>ST VINCENT'S RC JI NC</v>
      </c>
      <c r="F42" s="578">
        <v>194540.65</v>
      </c>
      <c r="G42" s="578">
        <v>0</v>
      </c>
      <c r="H42" s="578">
        <v>0</v>
      </c>
      <c r="I42" s="578">
        <v>1241412</v>
      </c>
      <c r="J42" s="578">
        <v>0</v>
      </c>
      <c r="K42" s="578">
        <v>34240.519999999997</v>
      </c>
      <c r="L42" s="578">
        <v>0</v>
      </c>
      <c r="M42" s="578">
        <v>171470</v>
      </c>
      <c r="N42" s="578">
        <v>3957.19</v>
      </c>
      <c r="O42" s="578">
        <v>0</v>
      </c>
      <c r="P42" s="578">
        <v>54466.59</v>
      </c>
      <c r="Q42" s="578">
        <v>219.6</v>
      </c>
      <c r="R42" s="578">
        <v>0</v>
      </c>
      <c r="S42" s="578">
        <v>0</v>
      </c>
      <c r="T42" s="578">
        <v>0</v>
      </c>
      <c r="U42" s="578">
        <v>326.39999999999998</v>
      </c>
      <c r="V42" s="578">
        <v>0</v>
      </c>
      <c r="W42" s="578"/>
      <c r="X42" s="578">
        <v>0</v>
      </c>
      <c r="Y42" s="578">
        <v>0</v>
      </c>
      <c r="Z42" s="578">
        <v>0</v>
      </c>
      <c r="AA42" s="578">
        <v>0</v>
      </c>
      <c r="AB42" s="578">
        <v>13092.19</v>
      </c>
      <c r="AC42" s="578">
        <v>6760</v>
      </c>
      <c r="AD42" s="578">
        <v>37594</v>
      </c>
      <c r="AE42" s="578">
        <v>705754.44</v>
      </c>
      <c r="AF42" s="578">
        <v>0</v>
      </c>
      <c r="AG42" s="578">
        <v>230598.8</v>
      </c>
      <c r="AH42" s="578">
        <v>58966.65</v>
      </c>
      <c r="AI42" s="578">
        <v>112056.68</v>
      </c>
      <c r="AJ42" s="578">
        <v>157.72999999999999</v>
      </c>
      <c r="AK42" s="578">
        <v>36627.65</v>
      </c>
      <c r="AL42" s="578">
        <v>1391</v>
      </c>
      <c r="AM42" s="578">
        <v>1040.0999999999999</v>
      </c>
      <c r="AN42" s="578">
        <v>0</v>
      </c>
      <c r="AO42" s="578">
        <v>0</v>
      </c>
      <c r="AP42" s="578">
        <v>23397.94</v>
      </c>
      <c r="AQ42" s="578">
        <v>3173.99</v>
      </c>
      <c r="AR42" s="578">
        <v>4430.32</v>
      </c>
      <c r="AS42" s="578">
        <v>26672</v>
      </c>
      <c r="AT42" s="578">
        <v>16489.14</v>
      </c>
      <c r="AU42" s="578">
        <v>4270.8500000000004</v>
      </c>
      <c r="AV42" s="578">
        <v>7168.88</v>
      </c>
      <c r="AW42" s="578">
        <v>62997.48</v>
      </c>
      <c r="AX42" s="578">
        <v>6444.71</v>
      </c>
      <c r="AY42" s="578">
        <v>0</v>
      </c>
      <c r="AZ42" s="578">
        <v>25693.599999999999</v>
      </c>
      <c r="BA42" s="578">
        <v>4428.55</v>
      </c>
      <c r="BB42" s="578">
        <v>0</v>
      </c>
      <c r="BC42" s="578">
        <v>89520.58</v>
      </c>
      <c r="BD42" s="578">
        <v>72543.649999999994</v>
      </c>
      <c r="BE42" s="578">
        <v>3886.56</v>
      </c>
      <c r="BF42" s="578">
        <v>103288.93</v>
      </c>
      <c r="BG42" s="578">
        <v>0</v>
      </c>
      <c r="BH42" s="578">
        <v>0</v>
      </c>
      <c r="BI42" s="578">
        <v>0</v>
      </c>
      <c r="BJ42" s="578">
        <v>0</v>
      </c>
      <c r="BK42" s="578">
        <v>0</v>
      </c>
      <c r="BL42" s="578">
        <v>0</v>
      </c>
      <c r="BM42" s="578">
        <v>0</v>
      </c>
      <c r="BN42" s="578">
        <v>0</v>
      </c>
      <c r="BO42" s="578">
        <v>10000</v>
      </c>
      <c r="BP42" s="578">
        <v>0</v>
      </c>
      <c r="BQ42" s="578">
        <v>0</v>
      </c>
      <c r="BR42" s="578">
        <v>0</v>
      </c>
      <c r="BS42" s="578">
        <v>0</v>
      </c>
      <c r="BT42" s="578">
        <v>0</v>
      </c>
      <c r="BU42" s="578">
        <v>157078.91</v>
      </c>
      <c r="BV42" s="578">
        <v>0</v>
      </c>
      <c r="BW42" s="578">
        <v>0</v>
      </c>
      <c r="BX42" s="578">
        <v>0</v>
      </c>
      <c r="BY42" s="578">
        <v>0</v>
      </c>
      <c r="BZ42" s="578">
        <v>1563538.49</v>
      </c>
      <c r="CA42" s="578">
        <v>1601000.23</v>
      </c>
      <c r="CB42" s="578">
        <v>0</v>
      </c>
      <c r="CC42" s="578">
        <v>0</v>
      </c>
      <c r="CD42" s="578">
        <v>157078.91</v>
      </c>
    </row>
    <row r="43" spans="1:82" hidden="1" x14ac:dyDescent="0.3">
      <c r="A43" s="574" t="s">
        <v>1628</v>
      </c>
      <c r="B43" s="577">
        <v>3301009</v>
      </c>
      <c r="C43" s="574">
        <f>_xlfn.XLOOKUP(B43,'[1]Blade-Export_15-08-2022_sources'!B:B,'[1]Blade-Export_15-08-2022_sources'!F:F,0,FALSE)</f>
        <v>330</v>
      </c>
      <c r="D43" s="574">
        <f>_xlfn.XLOOKUP($B43,'[1]Blade-Export_15-08-2022_sources'!$B:$B,'[1]Blade-Export_15-08-2022_sources'!G:G,0,FALSE)</f>
        <v>1009</v>
      </c>
      <c r="E43" s="574" t="str">
        <f>_xlfn.XLOOKUP($B43,'[1]Blade-Export_15-08-2022_sources'!$B:$B,'[1]Blade-Export_15-08-2022_sources'!H:H,0,FALSE)</f>
        <v>ST THOMAS Nurs</v>
      </c>
      <c r="F43" s="578">
        <v>-317302.25</v>
      </c>
      <c r="G43" s="578">
        <v>0</v>
      </c>
      <c r="H43" s="578">
        <v>20086.509999999998</v>
      </c>
      <c r="I43" s="578">
        <v>588235.64</v>
      </c>
      <c r="J43" s="578">
        <v>0</v>
      </c>
      <c r="K43" s="578">
        <v>3390.67</v>
      </c>
      <c r="L43" s="578">
        <v>0</v>
      </c>
      <c r="M43" s="578">
        <v>0</v>
      </c>
      <c r="N43" s="578">
        <v>0</v>
      </c>
      <c r="O43" s="578">
        <v>0</v>
      </c>
      <c r="P43" s="578">
        <v>4400.66</v>
      </c>
      <c r="Q43" s="578">
        <v>0</v>
      </c>
      <c r="R43" s="578">
        <v>1308.31</v>
      </c>
      <c r="S43" s="578">
        <v>0</v>
      </c>
      <c r="T43" s="578">
        <v>0</v>
      </c>
      <c r="U43" s="578">
        <v>127924.19</v>
      </c>
      <c r="V43" s="578">
        <v>0</v>
      </c>
      <c r="W43" s="578"/>
      <c r="X43" s="578">
        <v>0</v>
      </c>
      <c r="Y43" s="578">
        <v>0</v>
      </c>
      <c r="Z43" s="578">
        <v>0</v>
      </c>
      <c r="AA43" s="578">
        <v>0</v>
      </c>
      <c r="AB43" s="578">
        <v>0</v>
      </c>
      <c r="AC43" s="578">
        <v>0</v>
      </c>
      <c r="AD43" s="578">
        <v>0</v>
      </c>
      <c r="AE43" s="578">
        <v>208399.85</v>
      </c>
      <c r="AF43" s="578">
        <v>0</v>
      </c>
      <c r="AG43" s="578">
        <v>249716.27</v>
      </c>
      <c r="AH43" s="578">
        <v>20289.54</v>
      </c>
      <c r="AI43" s="578">
        <v>174962.33</v>
      </c>
      <c r="AJ43" s="578">
        <v>56322.89</v>
      </c>
      <c r="AK43" s="578">
        <v>92567.98</v>
      </c>
      <c r="AL43" s="578">
        <v>5283.66</v>
      </c>
      <c r="AM43" s="578">
        <v>950</v>
      </c>
      <c r="AN43" s="578">
        <v>0</v>
      </c>
      <c r="AO43" s="578">
        <v>0</v>
      </c>
      <c r="AP43" s="578">
        <v>11704.61</v>
      </c>
      <c r="AQ43" s="578">
        <v>0</v>
      </c>
      <c r="AR43" s="578">
        <v>25485.62</v>
      </c>
      <c r="AS43" s="578">
        <v>0</v>
      </c>
      <c r="AT43" s="578">
        <v>106.97</v>
      </c>
      <c r="AU43" s="578">
        <v>0</v>
      </c>
      <c r="AV43" s="578">
        <v>56174.12</v>
      </c>
      <c r="AW43" s="578">
        <v>17721.66</v>
      </c>
      <c r="AX43" s="578">
        <v>12379.74</v>
      </c>
      <c r="AY43" s="578">
        <v>0</v>
      </c>
      <c r="AZ43" s="578">
        <v>13283.51</v>
      </c>
      <c r="BA43" s="578">
        <v>3032</v>
      </c>
      <c r="BB43" s="578">
        <v>0</v>
      </c>
      <c r="BC43" s="578">
        <v>15460.72</v>
      </c>
      <c r="BD43" s="578">
        <v>110036.71</v>
      </c>
      <c r="BE43" s="578">
        <v>0</v>
      </c>
      <c r="BF43" s="578">
        <v>169307.87</v>
      </c>
      <c r="BG43" s="578">
        <v>0</v>
      </c>
      <c r="BH43" s="578">
        <v>0</v>
      </c>
      <c r="BI43" s="578">
        <v>0</v>
      </c>
      <c r="BJ43" s="578">
        <v>0</v>
      </c>
      <c r="BK43" s="578">
        <v>0</v>
      </c>
      <c r="BL43" s="578">
        <v>5343.25</v>
      </c>
      <c r="BM43" s="578">
        <v>0</v>
      </c>
      <c r="BN43" s="578">
        <v>0</v>
      </c>
      <c r="BO43" s="578">
        <v>10000</v>
      </c>
      <c r="BP43" s="578">
        <v>0</v>
      </c>
      <c r="BQ43" s="578">
        <v>0</v>
      </c>
      <c r="BR43" s="578">
        <v>0</v>
      </c>
      <c r="BS43" s="578">
        <v>0</v>
      </c>
      <c r="BT43" s="578">
        <v>0</v>
      </c>
      <c r="BU43" s="578">
        <v>-835228.84</v>
      </c>
      <c r="BV43" s="578">
        <v>25429.759999999998</v>
      </c>
      <c r="BW43" s="578">
        <v>0</v>
      </c>
      <c r="BX43" s="578">
        <v>0</v>
      </c>
      <c r="BY43" s="578">
        <v>0</v>
      </c>
      <c r="BZ43" s="578">
        <v>725259.47</v>
      </c>
      <c r="CA43" s="578">
        <v>1243186.05</v>
      </c>
      <c r="CB43" s="578">
        <v>5343.25</v>
      </c>
      <c r="CC43" s="578">
        <v>0</v>
      </c>
      <c r="CD43" s="578">
        <v>-809799.08</v>
      </c>
    </row>
    <row r="44" spans="1:82" hidden="1" x14ac:dyDescent="0.3">
      <c r="A44" s="574" t="s">
        <v>1629</v>
      </c>
      <c r="B44" s="577">
        <v>3303365</v>
      </c>
      <c r="C44" s="574">
        <f>_xlfn.XLOOKUP(B44,'[1]Blade-Export_15-08-2022_sources'!B:B,'[1]Blade-Export_15-08-2022_sources'!F:F,0,FALSE)</f>
        <v>330</v>
      </c>
      <c r="D44" s="574">
        <f>_xlfn.XLOOKUP($B44,'[1]Blade-Export_15-08-2022_sources'!$B:$B,'[1]Blade-Export_15-08-2022_sources'!G:G,0,FALSE)</f>
        <v>3365</v>
      </c>
      <c r="E44" s="574" t="str">
        <f>_xlfn.XLOOKUP($B44,'[1]Blade-Export_15-08-2022_sources'!$B:$B,'[1]Blade-Export_15-08-2022_sources'!H:H,0,FALSE)</f>
        <v xml:space="preserve">ST TERESA'S RC JI </v>
      </c>
      <c r="F44" s="578">
        <v>171206.98</v>
      </c>
      <c r="G44" s="578">
        <v>0</v>
      </c>
      <c r="H44" s="578">
        <v>0</v>
      </c>
      <c r="I44" s="578">
        <v>983368.95</v>
      </c>
      <c r="J44" s="578">
        <v>0</v>
      </c>
      <c r="K44" s="578">
        <v>49377.89</v>
      </c>
      <c r="L44" s="578">
        <v>0</v>
      </c>
      <c r="M44" s="578">
        <v>58145</v>
      </c>
      <c r="N44" s="578">
        <v>1299.3800000000001</v>
      </c>
      <c r="O44" s="578">
        <v>0</v>
      </c>
      <c r="P44" s="578">
        <v>27100.52</v>
      </c>
      <c r="Q44" s="578">
        <v>239.69</v>
      </c>
      <c r="R44" s="578">
        <v>0</v>
      </c>
      <c r="S44" s="578">
        <v>0</v>
      </c>
      <c r="T44" s="578">
        <v>0</v>
      </c>
      <c r="U44" s="578">
        <v>18220.740000000002</v>
      </c>
      <c r="V44" s="578">
        <v>0</v>
      </c>
      <c r="W44" s="578"/>
      <c r="X44" s="578">
        <v>0</v>
      </c>
      <c r="Y44" s="578">
        <v>0</v>
      </c>
      <c r="Z44" s="578">
        <v>0</v>
      </c>
      <c r="AA44" s="578">
        <v>0</v>
      </c>
      <c r="AB44" s="578">
        <v>4153.75</v>
      </c>
      <c r="AC44" s="578">
        <v>7000</v>
      </c>
      <c r="AD44" s="578">
        <v>47311</v>
      </c>
      <c r="AE44" s="578">
        <v>539375.65</v>
      </c>
      <c r="AF44" s="578">
        <v>0</v>
      </c>
      <c r="AG44" s="578">
        <v>130805.93</v>
      </c>
      <c r="AH44" s="578">
        <v>47868.35</v>
      </c>
      <c r="AI44" s="578">
        <v>56438.080000000002</v>
      </c>
      <c r="AJ44" s="578">
        <v>0</v>
      </c>
      <c r="AK44" s="578">
        <v>19593.61</v>
      </c>
      <c r="AL44" s="578">
        <v>2208.2199999999998</v>
      </c>
      <c r="AM44" s="578">
        <v>2415</v>
      </c>
      <c r="AN44" s="578">
        <v>0</v>
      </c>
      <c r="AO44" s="578">
        <v>0</v>
      </c>
      <c r="AP44" s="578">
        <v>6055.37</v>
      </c>
      <c r="AQ44" s="578">
        <v>222.58</v>
      </c>
      <c r="AR44" s="578">
        <v>12958.68</v>
      </c>
      <c r="AS44" s="578">
        <v>2510.41</v>
      </c>
      <c r="AT44" s="578">
        <v>15987.24</v>
      </c>
      <c r="AU44" s="578">
        <v>2984.45</v>
      </c>
      <c r="AV44" s="578">
        <v>2410.8000000000002</v>
      </c>
      <c r="AW44" s="578">
        <v>39365.43</v>
      </c>
      <c r="AX44" s="578">
        <v>1401.9</v>
      </c>
      <c r="AY44" s="578">
        <v>0</v>
      </c>
      <c r="AZ44" s="578">
        <v>8858.69</v>
      </c>
      <c r="BA44" s="578">
        <v>4450</v>
      </c>
      <c r="BB44" s="578">
        <v>0</v>
      </c>
      <c r="BC44" s="578">
        <v>68463.63</v>
      </c>
      <c r="BD44" s="578">
        <v>56490.35</v>
      </c>
      <c r="BE44" s="578">
        <v>236.35</v>
      </c>
      <c r="BF44" s="578">
        <v>98822.74</v>
      </c>
      <c r="BG44" s="578">
        <v>0</v>
      </c>
      <c r="BH44" s="578">
        <v>0</v>
      </c>
      <c r="BI44" s="578">
        <v>0</v>
      </c>
      <c r="BJ44" s="578">
        <v>0</v>
      </c>
      <c r="BK44" s="578">
        <v>0</v>
      </c>
      <c r="BL44" s="578">
        <v>0</v>
      </c>
      <c r="BM44" s="578">
        <v>0</v>
      </c>
      <c r="BN44" s="578">
        <v>0</v>
      </c>
      <c r="BO44" s="578">
        <v>10000</v>
      </c>
      <c r="BP44" s="578">
        <v>0</v>
      </c>
      <c r="BQ44" s="578">
        <v>0</v>
      </c>
      <c r="BR44" s="578">
        <v>0</v>
      </c>
      <c r="BS44" s="578">
        <v>0</v>
      </c>
      <c r="BT44" s="578">
        <v>0</v>
      </c>
      <c r="BU44" s="578">
        <v>247500.44</v>
      </c>
      <c r="BV44" s="578">
        <v>0</v>
      </c>
      <c r="BW44" s="578">
        <v>0</v>
      </c>
      <c r="BX44" s="578">
        <v>0</v>
      </c>
      <c r="BY44" s="578">
        <v>0</v>
      </c>
      <c r="BZ44" s="578">
        <v>1196216.92</v>
      </c>
      <c r="CA44" s="578">
        <v>1119923.46</v>
      </c>
      <c r="CB44" s="578">
        <v>0</v>
      </c>
      <c r="CC44" s="578">
        <v>0</v>
      </c>
      <c r="CD44" s="578">
        <v>247500.44</v>
      </c>
    </row>
    <row r="45" spans="1:82" hidden="1" x14ac:dyDescent="0.3">
      <c r="A45" s="579" t="s">
        <v>1630</v>
      </c>
      <c r="B45" s="577">
        <v>3303019</v>
      </c>
      <c r="C45" s="574">
        <f>_xlfn.XLOOKUP(B45,'[1]Blade-Export_15-08-2022_sources'!B:B,'[1]Blade-Export_15-08-2022_sources'!F:F,0,FALSE)</f>
        <v>330</v>
      </c>
      <c r="D45" s="574">
        <f>_xlfn.XLOOKUP($B45,'[1]Blade-Export_15-08-2022_sources'!$B:$B,'[1]Blade-Export_15-08-2022_sources'!G:G,0,FALSE)</f>
        <v>3019</v>
      </c>
      <c r="E45" s="574" t="str">
        <f>_xlfn.XLOOKUP($B45,'[1]Blade-Export_15-08-2022_sources'!$B:$B,'[1]Blade-Export_15-08-2022_sources'!H:H,0,FALSE)</f>
        <v xml:space="preserve">ST SAVIOUR'S CE JI </v>
      </c>
      <c r="F45" s="578">
        <v>554320.5</v>
      </c>
      <c r="G45" s="578">
        <v>0</v>
      </c>
      <c r="H45" s="578">
        <v>455.85</v>
      </c>
      <c r="I45" s="578">
        <v>2023326.78</v>
      </c>
      <c r="J45" s="578">
        <v>0</v>
      </c>
      <c r="K45" s="578">
        <v>85948.4</v>
      </c>
      <c r="L45" s="578">
        <v>0</v>
      </c>
      <c r="M45" s="578">
        <v>230995</v>
      </c>
      <c r="N45" s="578">
        <v>5433.75</v>
      </c>
      <c r="O45" s="578">
        <v>0</v>
      </c>
      <c r="P45" s="578">
        <v>24358.92</v>
      </c>
      <c r="Q45" s="578">
        <v>774.07</v>
      </c>
      <c r="R45" s="578">
        <v>0</v>
      </c>
      <c r="S45" s="578">
        <v>0</v>
      </c>
      <c r="T45" s="578">
        <v>0</v>
      </c>
      <c r="U45" s="578">
        <v>7611.4</v>
      </c>
      <c r="V45" s="578">
        <v>0</v>
      </c>
      <c r="W45" s="578"/>
      <c r="X45" s="578">
        <v>0</v>
      </c>
      <c r="Y45" s="578">
        <v>0</v>
      </c>
      <c r="Z45" s="578">
        <v>0</v>
      </c>
      <c r="AA45" s="578">
        <v>0</v>
      </c>
      <c r="AB45" s="578">
        <v>19031.25</v>
      </c>
      <c r="AC45" s="578">
        <v>13700</v>
      </c>
      <c r="AD45" s="578">
        <v>71936</v>
      </c>
      <c r="AE45" s="578">
        <v>958283.26</v>
      </c>
      <c r="AF45" s="578">
        <v>0</v>
      </c>
      <c r="AG45" s="578">
        <v>475371</v>
      </c>
      <c r="AH45" s="578">
        <v>43961.42</v>
      </c>
      <c r="AI45" s="578">
        <v>247666.82</v>
      </c>
      <c r="AJ45" s="578">
        <v>0</v>
      </c>
      <c r="AK45" s="578">
        <v>94727.78</v>
      </c>
      <c r="AL45" s="578">
        <v>695.15</v>
      </c>
      <c r="AM45" s="578">
        <v>6215</v>
      </c>
      <c r="AN45" s="578">
        <v>0</v>
      </c>
      <c r="AO45" s="578">
        <v>0</v>
      </c>
      <c r="AP45" s="578">
        <v>49694.6</v>
      </c>
      <c r="AQ45" s="578">
        <v>0</v>
      </c>
      <c r="AR45" s="578">
        <v>3638.24</v>
      </c>
      <c r="AS45" s="578">
        <v>2594.36</v>
      </c>
      <c r="AT45" s="578">
        <v>21704.57</v>
      </c>
      <c r="AU45" s="578">
        <v>15170.22</v>
      </c>
      <c r="AV45" s="578">
        <v>10634.96</v>
      </c>
      <c r="AW45" s="578">
        <v>37727.9</v>
      </c>
      <c r="AX45" s="578">
        <v>25164.13</v>
      </c>
      <c r="AY45" s="578">
        <v>0</v>
      </c>
      <c r="AZ45" s="578">
        <v>5000</v>
      </c>
      <c r="BA45" s="578">
        <v>8200</v>
      </c>
      <c r="BB45" s="578">
        <v>0</v>
      </c>
      <c r="BC45" s="578">
        <v>14297.53</v>
      </c>
      <c r="BD45" s="578">
        <v>114755.16</v>
      </c>
      <c r="BE45" s="578">
        <v>777.81</v>
      </c>
      <c r="BF45" s="578">
        <v>240942.16</v>
      </c>
      <c r="BG45" s="578">
        <v>0</v>
      </c>
      <c r="BH45" s="578">
        <v>0</v>
      </c>
      <c r="BI45" s="578">
        <v>106532.05</v>
      </c>
      <c r="BJ45" s="578">
        <v>0</v>
      </c>
      <c r="BK45" s="578">
        <v>0</v>
      </c>
      <c r="BL45" s="578">
        <v>8612.5</v>
      </c>
      <c r="BM45" s="578">
        <v>0</v>
      </c>
      <c r="BN45" s="578">
        <v>0</v>
      </c>
      <c r="BO45" s="578">
        <v>10000</v>
      </c>
      <c r="BP45" s="578">
        <v>0</v>
      </c>
      <c r="BQ45" s="578">
        <v>0</v>
      </c>
      <c r="BR45" s="578">
        <v>0</v>
      </c>
      <c r="BS45" s="578">
        <v>0</v>
      </c>
      <c r="BT45" s="578">
        <v>0</v>
      </c>
      <c r="BU45" s="578">
        <v>553681.96</v>
      </c>
      <c r="BV45" s="578">
        <v>9068.35</v>
      </c>
      <c r="BW45" s="578">
        <v>0</v>
      </c>
      <c r="BX45" s="578">
        <v>0</v>
      </c>
      <c r="BY45" s="578">
        <v>0</v>
      </c>
      <c r="BZ45" s="578">
        <v>2483115.5699999998</v>
      </c>
      <c r="CA45" s="578">
        <v>2483754.12</v>
      </c>
      <c r="CB45" s="578">
        <v>8612.5</v>
      </c>
      <c r="CC45" s="578">
        <v>0</v>
      </c>
      <c r="CD45" s="578">
        <v>562750.31000000006</v>
      </c>
    </row>
    <row r="46" spans="1:82" hidden="1" x14ac:dyDescent="0.3">
      <c r="A46" s="574" t="s">
        <v>1631</v>
      </c>
      <c r="B46" s="577">
        <v>3303428</v>
      </c>
      <c r="C46" s="574">
        <f>_xlfn.XLOOKUP(B46,'[1]Blade-Export_15-08-2022_sources'!B:B,'[1]Blade-Export_15-08-2022_sources'!F:F,0,FALSE)</f>
        <v>330</v>
      </c>
      <c r="D46" s="574">
        <f>_xlfn.XLOOKUP($B46,'[1]Blade-Export_15-08-2022_sources'!$B:$B,'[1]Blade-Export_15-08-2022_sources'!G:G,0,FALSE)</f>
        <v>3428</v>
      </c>
      <c r="E46" s="574" t="str">
        <f>_xlfn.XLOOKUP($B46,'[1]Blade-Export_15-08-2022_sources'!$B:$B,'[1]Blade-Export_15-08-2022_sources'!H:H,0,FALSE)</f>
        <v>ST PETER'S CE JI NC</v>
      </c>
      <c r="F46" s="578">
        <v>329354.51</v>
      </c>
      <c r="G46" s="578">
        <v>0</v>
      </c>
      <c r="H46" s="578">
        <v>8524.25</v>
      </c>
      <c r="I46" s="578">
        <v>1934060.71</v>
      </c>
      <c r="J46" s="578">
        <v>0</v>
      </c>
      <c r="K46" s="578">
        <v>16447.21</v>
      </c>
      <c r="L46" s="578">
        <v>0</v>
      </c>
      <c r="M46" s="578">
        <v>109220</v>
      </c>
      <c r="N46" s="578">
        <v>2539.69</v>
      </c>
      <c r="O46" s="578">
        <v>0</v>
      </c>
      <c r="P46" s="578">
        <v>109258.43</v>
      </c>
      <c r="Q46" s="578">
        <v>0</v>
      </c>
      <c r="R46" s="578">
        <v>30617.07</v>
      </c>
      <c r="S46" s="578">
        <v>0</v>
      </c>
      <c r="T46" s="578">
        <v>0</v>
      </c>
      <c r="U46" s="578">
        <v>12792.16</v>
      </c>
      <c r="V46" s="578">
        <v>0</v>
      </c>
      <c r="W46" s="578"/>
      <c r="X46" s="578">
        <v>0</v>
      </c>
      <c r="Y46" s="578">
        <v>0</v>
      </c>
      <c r="Z46" s="578">
        <v>0</v>
      </c>
      <c r="AA46" s="578">
        <v>0</v>
      </c>
      <c r="AB46" s="578">
        <v>9539.69</v>
      </c>
      <c r="AC46" s="578">
        <v>13530</v>
      </c>
      <c r="AD46" s="578">
        <v>83380</v>
      </c>
      <c r="AE46" s="578">
        <v>1033838.01</v>
      </c>
      <c r="AF46" s="578">
        <v>25176.97</v>
      </c>
      <c r="AG46" s="578">
        <v>442960.94</v>
      </c>
      <c r="AH46" s="578">
        <v>115134.59</v>
      </c>
      <c r="AI46" s="578">
        <v>98216.82</v>
      </c>
      <c r="AJ46" s="578">
        <v>46234.82</v>
      </c>
      <c r="AK46" s="578">
        <v>83995.87</v>
      </c>
      <c r="AL46" s="578">
        <v>219.4</v>
      </c>
      <c r="AM46" s="578">
        <v>3700.5</v>
      </c>
      <c r="AN46" s="578">
        <v>0</v>
      </c>
      <c r="AO46" s="578">
        <v>0</v>
      </c>
      <c r="AP46" s="578">
        <v>57406.22</v>
      </c>
      <c r="AQ46" s="578">
        <v>11965.77</v>
      </c>
      <c r="AR46" s="578">
        <v>25616.13</v>
      </c>
      <c r="AS46" s="578">
        <v>8216.94</v>
      </c>
      <c r="AT46" s="578">
        <v>31778.75</v>
      </c>
      <c r="AU46" s="578">
        <v>31594.19</v>
      </c>
      <c r="AV46" s="578">
        <v>12915.75</v>
      </c>
      <c r="AW46" s="578">
        <v>69244.61</v>
      </c>
      <c r="AX46" s="578">
        <v>3710.66</v>
      </c>
      <c r="AY46" s="578">
        <v>0</v>
      </c>
      <c r="AZ46" s="578">
        <v>32081.15</v>
      </c>
      <c r="BA46" s="578">
        <v>8200</v>
      </c>
      <c r="BB46" s="578">
        <v>0</v>
      </c>
      <c r="BC46" s="578">
        <v>52329.06</v>
      </c>
      <c r="BD46" s="578">
        <v>24606.32</v>
      </c>
      <c r="BE46" s="578">
        <v>28392.33</v>
      </c>
      <c r="BF46" s="578">
        <v>127568.38</v>
      </c>
      <c r="BG46" s="578">
        <v>0</v>
      </c>
      <c r="BH46" s="578">
        <v>252.48</v>
      </c>
      <c r="BI46" s="578">
        <v>0</v>
      </c>
      <c r="BJ46" s="578">
        <v>0</v>
      </c>
      <c r="BK46" s="578">
        <v>0</v>
      </c>
      <c r="BL46" s="578">
        <v>0</v>
      </c>
      <c r="BM46" s="578">
        <v>0</v>
      </c>
      <c r="BN46" s="578">
        <v>0</v>
      </c>
      <c r="BO46" s="578">
        <v>10000</v>
      </c>
      <c r="BP46" s="578">
        <v>0</v>
      </c>
      <c r="BQ46" s="578">
        <v>0</v>
      </c>
      <c r="BR46" s="578">
        <v>0</v>
      </c>
      <c r="BS46" s="578">
        <v>0</v>
      </c>
      <c r="BT46" s="578">
        <v>0</v>
      </c>
      <c r="BU46" s="578">
        <v>275382.8</v>
      </c>
      <c r="BV46" s="578">
        <v>8524.25</v>
      </c>
      <c r="BW46" s="578">
        <v>0</v>
      </c>
      <c r="BX46" s="578">
        <v>0</v>
      </c>
      <c r="BY46" s="578">
        <v>0</v>
      </c>
      <c r="BZ46" s="578">
        <v>2321384.96</v>
      </c>
      <c r="CA46" s="578">
        <v>2375356.66</v>
      </c>
      <c r="CB46" s="578">
        <v>0</v>
      </c>
      <c r="CC46" s="578">
        <v>0</v>
      </c>
      <c r="CD46" s="578">
        <v>283907.05</v>
      </c>
    </row>
    <row r="47" spans="1:82" hidden="1" x14ac:dyDescent="0.3">
      <c r="A47" s="579" t="s">
        <v>1632</v>
      </c>
      <c r="B47" s="577">
        <v>3303385</v>
      </c>
      <c r="C47" s="574">
        <f>_xlfn.XLOOKUP(B47,'[1]Blade-Export_15-08-2022_sources'!B:B,'[1]Blade-Export_15-08-2022_sources'!F:F,0,FALSE)</f>
        <v>330</v>
      </c>
      <c r="D47" s="574">
        <f>_xlfn.XLOOKUP($B47,'[1]Blade-Export_15-08-2022_sources'!$B:$B,'[1]Blade-Export_15-08-2022_sources'!G:G,0,FALSE)</f>
        <v>3385</v>
      </c>
      <c r="E47" s="574" t="str">
        <f>_xlfn.XLOOKUP($B47,'[1]Blade-Export_15-08-2022_sources'!$B:$B,'[1]Blade-Export_15-08-2022_sources'!H:H,0,FALSE)</f>
        <v xml:space="preserve">ST PETER'S RC JI </v>
      </c>
      <c r="F47" s="578">
        <v>196590.53</v>
      </c>
      <c r="G47" s="578">
        <v>0</v>
      </c>
      <c r="H47" s="578">
        <v>0</v>
      </c>
      <c r="I47" s="578">
        <v>1036983.17</v>
      </c>
      <c r="J47" s="578">
        <v>0</v>
      </c>
      <c r="K47" s="578">
        <v>52910.36</v>
      </c>
      <c r="L47" s="578">
        <v>0</v>
      </c>
      <c r="M47" s="578">
        <v>114600</v>
      </c>
      <c r="N47" s="578">
        <v>2539.69</v>
      </c>
      <c r="O47" s="578">
        <v>0</v>
      </c>
      <c r="P47" s="578">
        <v>21090.53</v>
      </c>
      <c r="Q47" s="578">
        <v>275.23</v>
      </c>
      <c r="R47" s="578">
        <v>0</v>
      </c>
      <c r="S47" s="578">
        <v>0</v>
      </c>
      <c r="T47" s="578">
        <v>0</v>
      </c>
      <c r="U47" s="578">
        <v>992.65</v>
      </c>
      <c r="V47" s="578">
        <v>0</v>
      </c>
      <c r="W47" s="578"/>
      <c r="X47" s="578">
        <v>0</v>
      </c>
      <c r="Y47" s="578">
        <v>0</v>
      </c>
      <c r="Z47" s="578">
        <v>0</v>
      </c>
      <c r="AA47" s="578">
        <v>0</v>
      </c>
      <c r="AB47" s="578">
        <v>9829.69</v>
      </c>
      <c r="AC47" s="578">
        <v>7000</v>
      </c>
      <c r="AD47" s="578">
        <v>40137</v>
      </c>
      <c r="AE47" s="578">
        <v>505814.49</v>
      </c>
      <c r="AF47" s="578">
        <v>0</v>
      </c>
      <c r="AG47" s="578">
        <v>195855.96</v>
      </c>
      <c r="AH47" s="578">
        <v>17211.62</v>
      </c>
      <c r="AI47" s="578">
        <v>99394.96</v>
      </c>
      <c r="AJ47" s="578">
        <v>213.66</v>
      </c>
      <c r="AK47" s="578">
        <v>26575.57</v>
      </c>
      <c r="AL47" s="578">
        <v>874.66</v>
      </c>
      <c r="AM47" s="578">
        <v>5821.25</v>
      </c>
      <c r="AN47" s="578">
        <v>0</v>
      </c>
      <c r="AO47" s="578">
        <v>0</v>
      </c>
      <c r="AP47" s="578">
        <v>7041.16</v>
      </c>
      <c r="AQ47" s="578">
        <v>2341.7600000000002</v>
      </c>
      <c r="AR47" s="578">
        <v>1909.02</v>
      </c>
      <c r="AS47" s="578">
        <v>3225.12</v>
      </c>
      <c r="AT47" s="578">
        <v>21100.61</v>
      </c>
      <c r="AU47" s="578">
        <v>5979.16</v>
      </c>
      <c r="AV47" s="578">
        <v>2313.7800000000002</v>
      </c>
      <c r="AW47" s="578">
        <v>50415.02</v>
      </c>
      <c r="AX47" s="578">
        <v>376</v>
      </c>
      <c r="AY47" s="578">
        <v>0</v>
      </c>
      <c r="AZ47" s="578">
        <v>4418.6899999999996</v>
      </c>
      <c r="BA47" s="578">
        <v>0</v>
      </c>
      <c r="BB47" s="578">
        <v>0</v>
      </c>
      <c r="BC47" s="578">
        <v>57856.09</v>
      </c>
      <c r="BD47" s="578">
        <v>67314.37</v>
      </c>
      <c r="BE47" s="578">
        <v>0</v>
      </c>
      <c r="BF47" s="578">
        <v>149471.82999999999</v>
      </c>
      <c r="BG47" s="578">
        <v>0</v>
      </c>
      <c r="BH47" s="578">
        <v>0</v>
      </c>
      <c r="BI47" s="578">
        <v>0</v>
      </c>
      <c r="BJ47" s="578">
        <v>0</v>
      </c>
      <c r="BK47" s="578">
        <v>0</v>
      </c>
      <c r="BL47" s="578">
        <v>0</v>
      </c>
      <c r="BM47" s="578">
        <v>0</v>
      </c>
      <c r="BN47" s="578">
        <v>0</v>
      </c>
      <c r="BO47" s="578">
        <v>10000</v>
      </c>
      <c r="BP47" s="578">
        <v>0</v>
      </c>
      <c r="BQ47" s="578">
        <v>0</v>
      </c>
      <c r="BR47" s="578">
        <v>0</v>
      </c>
      <c r="BS47" s="578">
        <v>0</v>
      </c>
      <c r="BT47" s="578">
        <v>0</v>
      </c>
      <c r="BU47" s="578">
        <v>257424.06</v>
      </c>
      <c r="BV47" s="578">
        <v>0</v>
      </c>
      <c r="BW47" s="578">
        <v>0</v>
      </c>
      <c r="BX47" s="578">
        <v>0</v>
      </c>
      <c r="BY47" s="578">
        <v>0</v>
      </c>
      <c r="BZ47" s="578">
        <v>1286358.32</v>
      </c>
      <c r="CA47" s="578">
        <v>1225524.78</v>
      </c>
      <c r="CB47" s="578">
        <v>0</v>
      </c>
      <c r="CC47" s="578">
        <v>0</v>
      </c>
      <c r="CD47" s="578">
        <v>257424.06</v>
      </c>
    </row>
    <row r="48" spans="1:82" hidden="1" x14ac:dyDescent="0.3">
      <c r="A48" s="574" t="s">
        <v>1633</v>
      </c>
      <c r="B48" s="577">
        <v>3304606</v>
      </c>
      <c r="C48" s="574">
        <f>_xlfn.XLOOKUP(B48,'[1]Blade-Export_15-08-2022_sources'!B:B,'[1]Blade-Export_15-08-2022_sources'!F:F,0,FALSE)</f>
        <v>330</v>
      </c>
      <c r="D48" s="574">
        <f>_xlfn.XLOOKUP($B48,'[1]Blade-Export_15-08-2022_sources'!$B:$B,'[1]Blade-Export_15-08-2022_sources'!G:G,0,FALSE)</f>
        <v>4606</v>
      </c>
      <c r="E48" s="574" t="str">
        <f>_xlfn.XLOOKUP($B48,'[1]Blade-Export_15-08-2022_sources'!$B:$B,'[1]Blade-Export_15-08-2022_sources'!H:H,0,FALSE)</f>
        <v xml:space="preserve">ST PAUL'S RC GIRLS Sec (16+) </v>
      </c>
      <c r="F48" s="578">
        <v>494404.98</v>
      </c>
      <c r="G48" s="578">
        <v>0</v>
      </c>
      <c r="H48" s="578">
        <v>0</v>
      </c>
      <c r="I48" s="578">
        <v>4891355.32</v>
      </c>
      <c r="J48" s="578">
        <v>923344.76</v>
      </c>
      <c r="K48" s="578">
        <v>24704.81</v>
      </c>
      <c r="L48" s="578">
        <v>0</v>
      </c>
      <c r="M48" s="578">
        <v>228220</v>
      </c>
      <c r="N48" s="578">
        <v>8327.81</v>
      </c>
      <c r="O48" s="578">
        <v>3252.95</v>
      </c>
      <c r="P48" s="578">
        <v>9618.9599999999991</v>
      </c>
      <c r="Q48" s="578">
        <v>0</v>
      </c>
      <c r="R48" s="578">
        <v>0</v>
      </c>
      <c r="S48" s="578">
        <v>0</v>
      </c>
      <c r="T48" s="578">
        <v>0</v>
      </c>
      <c r="U48" s="578">
        <v>9459.94</v>
      </c>
      <c r="V48" s="578">
        <v>0</v>
      </c>
      <c r="W48" s="578"/>
      <c r="X48" s="578">
        <v>0</v>
      </c>
      <c r="Y48" s="578">
        <v>0</v>
      </c>
      <c r="Z48" s="578">
        <v>0</v>
      </c>
      <c r="AA48" s="578">
        <v>0</v>
      </c>
      <c r="AB48" s="578">
        <v>51394.06</v>
      </c>
      <c r="AC48" s="578">
        <v>27730</v>
      </c>
      <c r="AD48" s="578">
        <v>5640</v>
      </c>
      <c r="AE48" s="578">
        <v>4066164.91</v>
      </c>
      <c r="AF48" s="578">
        <v>0</v>
      </c>
      <c r="AG48" s="578">
        <v>483393.12</v>
      </c>
      <c r="AH48" s="578">
        <v>64636.98</v>
      </c>
      <c r="AI48" s="578">
        <v>406232.02</v>
      </c>
      <c r="AJ48" s="578">
        <v>0</v>
      </c>
      <c r="AK48" s="578">
        <v>48730.23</v>
      </c>
      <c r="AL48" s="578">
        <v>23662.959999999999</v>
      </c>
      <c r="AM48" s="578">
        <v>22630</v>
      </c>
      <c r="AN48" s="578">
        <v>0</v>
      </c>
      <c r="AO48" s="578">
        <v>0</v>
      </c>
      <c r="AP48" s="578">
        <v>94174.81</v>
      </c>
      <c r="AQ48" s="578">
        <v>7210.83</v>
      </c>
      <c r="AR48" s="578">
        <v>109316.52</v>
      </c>
      <c r="AS48" s="578">
        <v>15206.14</v>
      </c>
      <c r="AT48" s="578">
        <v>79231.320000000007</v>
      </c>
      <c r="AU48" s="578">
        <v>22228.99</v>
      </c>
      <c r="AV48" s="578">
        <v>13608.66</v>
      </c>
      <c r="AW48" s="578">
        <v>83241.960000000006</v>
      </c>
      <c r="AX48" s="578">
        <v>146463.84</v>
      </c>
      <c r="AY48" s="578">
        <v>81992.789999999994</v>
      </c>
      <c r="AZ48" s="578">
        <v>110811.29</v>
      </c>
      <c r="BA48" s="578">
        <v>21050</v>
      </c>
      <c r="BB48" s="578">
        <v>1020</v>
      </c>
      <c r="BC48" s="578">
        <v>51375.12</v>
      </c>
      <c r="BD48" s="578">
        <v>2426</v>
      </c>
      <c r="BE48" s="578">
        <v>27123.86</v>
      </c>
      <c r="BF48" s="578">
        <v>218777.05</v>
      </c>
      <c r="BG48" s="578">
        <v>0</v>
      </c>
      <c r="BH48" s="578">
        <v>743.04</v>
      </c>
      <c r="BI48" s="578">
        <v>0</v>
      </c>
      <c r="BJ48" s="578">
        <v>0</v>
      </c>
      <c r="BK48" s="578">
        <v>0</v>
      </c>
      <c r="BL48" s="578">
        <v>0</v>
      </c>
      <c r="BM48" s="578">
        <v>0</v>
      </c>
      <c r="BN48" s="578">
        <v>0</v>
      </c>
      <c r="BO48" s="578">
        <v>10000</v>
      </c>
      <c r="BP48" s="578">
        <v>0</v>
      </c>
      <c r="BQ48" s="578">
        <v>0</v>
      </c>
      <c r="BR48" s="578">
        <v>0</v>
      </c>
      <c r="BS48" s="578">
        <v>0</v>
      </c>
      <c r="BT48" s="578">
        <v>0</v>
      </c>
      <c r="BU48" s="578">
        <v>476001.16</v>
      </c>
      <c r="BV48" s="578">
        <v>0</v>
      </c>
      <c r="BW48" s="578">
        <v>0</v>
      </c>
      <c r="BX48" s="578">
        <v>0</v>
      </c>
      <c r="BY48" s="578">
        <v>0</v>
      </c>
      <c r="BZ48" s="578">
        <v>6183048.6100000003</v>
      </c>
      <c r="CA48" s="578">
        <v>6201452.4400000004</v>
      </c>
      <c r="CB48" s="578">
        <v>0</v>
      </c>
      <c r="CC48" s="578">
        <v>0</v>
      </c>
      <c r="CD48" s="578">
        <v>476001.16</v>
      </c>
    </row>
    <row r="49" spans="1:82" hidden="1" x14ac:dyDescent="0.3">
      <c r="A49" s="574" t="s">
        <v>1634</v>
      </c>
      <c r="B49" s="577">
        <v>3303346</v>
      </c>
      <c r="C49" s="574">
        <f>_xlfn.XLOOKUP(B49,'[1]Blade-Export_15-08-2022_sources'!B:B,'[1]Blade-Export_15-08-2022_sources'!F:F,0,FALSE)</f>
        <v>330</v>
      </c>
      <c r="D49" s="574">
        <f>_xlfn.XLOOKUP($B49,'[1]Blade-Export_15-08-2022_sources'!$B:$B,'[1]Blade-Export_15-08-2022_sources'!G:G,0,FALSE)</f>
        <v>3346</v>
      </c>
      <c r="E49" s="574" t="str">
        <f>_xlfn.XLOOKUP($B49,'[1]Blade-Export_15-08-2022_sources'!$B:$B,'[1]Blade-Export_15-08-2022_sources'!H:H,0,FALSE)</f>
        <v xml:space="preserve">ST PATRICK'S RC JI </v>
      </c>
      <c r="F49" s="578">
        <v>-104796.58</v>
      </c>
      <c r="G49" s="578">
        <v>0</v>
      </c>
      <c r="H49" s="578">
        <v>0</v>
      </c>
      <c r="I49" s="578">
        <v>1018210.99</v>
      </c>
      <c r="J49" s="578">
        <v>0</v>
      </c>
      <c r="K49" s="578">
        <v>8175</v>
      </c>
      <c r="L49" s="578">
        <v>0</v>
      </c>
      <c r="M49" s="578">
        <v>121670</v>
      </c>
      <c r="N49" s="578">
        <v>2894.06</v>
      </c>
      <c r="O49" s="578">
        <v>0</v>
      </c>
      <c r="P49" s="578">
        <v>21723.77</v>
      </c>
      <c r="Q49" s="578">
        <v>0</v>
      </c>
      <c r="R49" s="578">
        <v>3181.02</v>
      </c>
      <c r="S49" s="578">
        <v>0</v>
      </c>
      <c r="T49" s="578">
        <v>0</v>
      </c>
      <c r="U49" s="578">
        <v>9397.42</v>
      </c>
      <c r="V49" s="578">
        <v>0</v>
      </c>
      <c r="W49" s="578"/>
      <c r="X49" s="578">
        <v>0</v>
      </c>
      <c r="Y49" s="578">
        <v>0</v>
      </c>
      <c r="Z49" s="578">
        <v>0</v>
      </c>
      <c r="AA49" s="578">
        <v>0</v>
      </c>
      <c r="AB49" s="578">
        <v>10619.06</v>
      </c>
      <c r="AC49" s="578">
        <v>5800</v>
      </c>
      <c r="AD49" s="578">
        <v>29017</v>
      </c>
      <c r="AE49" s="578">
        <v>590387.05000000005</v>
      </c>
      <c r="AF49" s="578">
        <v>0</v>
      </c>
      <c r="AG49" s="578">
        <v>179908.34</v>
      </c>
      <c r="AH49" s="578">
        <v>37920.39</v>
      </c>
      <c r="AI49" s="578">
        <v>124662.13</v>
      </c>
      <c r="AJ49" s="578">
        <v>0</v>
      </c>
      <c r="AK49" s="578">
        <v>35294.21</v>
      </c>
      <c r="AL49" s="578">
        <v>732.1</v>
      </c>
      <c r="AM49" s="578">
        <v>1305</v>
      </c>
      <c r="AN49" s="578">
        <v>0</v>
      </c>
      <c r="AO49" s="578">
        <v>0</v>
      </c>
      <c r="AP49" s="578">
        <v>16630.330000000002</v>
      </c>
      <c r="AQ49" s="578">
        <v>1176.81</v>
      </c>
      <c r="AR49" s="578">
        <v>23051.67</v>
      </c>
      <c r="AS49" s="578">
        <v>412.22</v>
      </c>
      <c r="AT49" s="578">
        <v>25420.93</v>
      </c>
      <c r="AU49" s="578">
        <v>2958.72</v>
      </c>
      <c r="AV49" s="578">
        <v>1616.09</v>
      </c>
      <c r="AW49" s="578">
        <v>28445.75</v>
      </c>
      <c r="AX49" s="578">
        <v>11863.46</v>
      </c>
      <c r="AY49" s="578">
        <v>0</v>
      </c>
      <c r="AZ49" s="578">
        <v>17990.43</v>
      </c>
      <c r="BA49" s="578">
        <v>5100</v>
      </c>
      <c r="BB49" s="578">
        <v>0</v>
      </c>
      <c r="BC49" s="578">
        <v>72233.240000000005</v>
      </c>
      <c r="BD49" s="578">
        <v>24090.959999999999</v>
      </c>
      <c r="BE49" s="578">
        <v>815.7</v>
      </c>
      <c r="BF49" s="578">
        <v>111983.88</v>
      </c>
      <c r="BG49" s="578">
        <v>0</v>
      </c>
      <c r="BH49" s="578">
        <v>0</v>
      </c>
      <c r="BI49" s="578">
        <v>0</v>
      </c>
      <c r="BJ49" s="578">
        <v>0</v>
      </c>
      <c r="BK49" s="578">
        <v>0</v>
      </c>
      <c r="BL49" s="578">
        <v>0</v>
      </c>
      <c r="BM49" s="578">
        <v>0</v>
      </c>
      <c r="BN49" s="578">
        <v>0</v>
      </c>
      <c r="BO49" s="578">
        <v>10000</v>
      </c>
      <c r="BP49" s="578">
        <v>0</v>
      </c>
      <c r="BQ49" s="578">
        <v>0</v>
      </c>
      <c r="BR49" s="578">
        <v>0</v>
      </c>
      <c r="BS49" s="578">
        <v>0</v>
      </c>
      <c r="BT49" s="578">
        <v>0</v>
      </c>
      <c r="BU49" s="578">
        <v>-188107.66</v>
      </c>
      <c r="BV49" s="578">
        <v>0</v>
      </c>
      <c r="BW49" s="578">
        <v>0</v>
      </c>
      <c r="BX49" s="578">
        <v>0</v>
      </c>
      <c r="BY49" s="578">
        <v>0</v>
      </c>
      <c r="BZ49" s="578">
        <v>1230688.32</v>
      </c>
      <c r="CA49" s="578">
        <v>1313999.4099999999</v>
      </c>
      <c r="CB49" s="578">
        <v>0</v>
      </c>
      <c r="CC49" s="578">
        <v>0</v>
      </c>
      <c r="CD49" s="578">
        <v>-188107.66</v>
      </c>
    </row>
    <row r="50" spans="1:82" hidden="1" x14ac:dyDescent="0.3">
      <c r="A50" s="574" t="s">
        <v>1635</v>
      </c>
      <c r="B50" s="577">
        <v>3303016</v>
      </c>
      <c r="C50" s="574">
        <f>_xlfn.XLOOKUP(B50,'[1]Blade-Export_15-08-2022_sources'!B:B,'[1]Blade-Export_15-08-2022_sources'!F:F,0,FALSE)</f>
        <v>330</v>
      </c>
      <c r="D50" s="574">
        <f>_xlfn.XLOOKUP($B50,'[1]Blade-Export_15-08-2022_sources'!$B:$B,'[1]Blade-Export_15-08-2022_sources'!G:G,0,FALSE)</f>
        <v>3016</v>
      </c>
      <c r="E50" s="574" t="str">
        <f>_xlfn.XLOOKUP($B50,'[1]Blade-Export_15-08-2022_sources'!$B:$B,'[1]Blade-Export_15-08-2022_sources'!H:H,0,FALSE)</f>
        <v xml:space="preserve">ST MATTHEW'S CE JI </v>
      </c>
      <c r="F50" s="578">
        <v>520994.53</v>
      </c>
      <c r="G50" s="578">
        <v>0</v>
      </c>
      <c r="H50" s="578">
        <v>0.63</v>
      </c>
      <c r="I50" s="578">
        <v>1233189.6399999999</v>
      </c>
      <c r="J50" s="578">
        <v>0</v>
      </c>
      <c r="K50" s="578">
        <v>5000</v>
      </c>
      <c r="L50" s="578">
        <v>0</v>
      </c>
      <c r="M50" s="578">
        <v>157365</v>
      </c>
      <c r="N50" s="578">
        <v>3839.06</v>
      </c>
      <c r="O50" s="578">
        <v>0</v>
      </c>
      <c r="P50" s="578">
        <v>184596.05</v>
      </c>
      <c r="Q50" s="578">
        <v>0</v>
      </c>
      <c r="R50" s="578">
        <v>7806.72</v>
      </c>
      <c r="S50" s="578">
        <v>0</v>
      </c>
      <c r="T50" s="578">
        <v>0</v>
      </c>
      <c r="U50" s="578">
        <v>106</v>
      </c>
      <c r="V50" s="578">
        <v>0</v>
      </c>
      <c r="W50" s="578"/>
      <c r="X50" s="578">
        <v>0</v>
      </c>
      <c r="Y50" s="578">
        <v>0</v>
      </c>
      <c r="Z50" s="578">
        <v>0</v>
      </c>
      <c r="AA50" s="578">
        <v>0</v>
      </c>
      <c r="AB50" s="578">
        <v>13521.56</v>
      </c>
      <c r="AC50" s="578">
        <v>6800</v>
      </c>
      <c r="AD50" s="578">
        <v>39857</v>
      </c>
      <c r="AE50" s="578">
        <v>560064.93999999994</v>
      </c>
      <c r="AF50" s="578">
        <v>0</v>
      </c>
      <c r="AG50" s="578">
        <v>244469.5</v>
      </c>
      <c r="AH50" s="578">
        <v>63828.86</v>
      </c>
      <c r="AI50" s="578">
        <v>91181.22</v>
      </c>
      <c r="AJ50" s="578">
        <v>0</v>
      </c>
      <c r="AK50" s="578">
        <v>53037.46</v>
      </c>
      <c r="AL50" s="578">
        <v>0</v>
      </c>
      <c r="AM50" s="578">
        <v>19069.77</v>
      </c>
      <c r="AN50" s="578">
        <v>0</v>
      </c>
      <c r="AO50" s="578">
        <v>0</v>
      </c>
      <c r="AP50" s="578">
        <v>100040.69</v>
      </c>
      <c r="AQ50" s="578">
        <v>4836.93</v>
      </c>
      <c r="AR50" s="578">
        <v>2487.48</v>
      </c>
      <c r="AS50" s="578">
        <v>4712.88</v>
      </c>
      <c r="AT50" s="578">
        <v>11621.98</v>
      </c>
      <c r="AU50" s="578">
        <v>14919.48</v>
      </c>
      <c r="AV50" s="578">
        <v>13610.51</v>
      </c>
      <c r="AW50" s="578">
        <v>65383.99</v>
      </c>
      <c r="AX50" s="578">
        <v>14400.7</v>
      </c>
      <c r="AY50" s="578">
        <v>0</v>
      </c>
      <c r="AZ50" s="578">
        <v>134949.19</v>
      </c>
      <c r="BA50" s="578">
        <v>4456.8</v>
      </c>
      <c r="BB50" s="578">
        <v>0</v>
      </c>
      <c r="BC50" s="578">
        <v>110366.23</v>
      </c>
      <c r="BD50" s="578">
        <v>78031.990000000005</v>
      </c>
      <c r="BE50" s="578">
        <v>12202</v>
      </c>
      <c r="BF50" s="578">
        <v>102806.89</v>
      </c>
      <c r="BG50" s="578">
        <v>0</v>
      </c>
      <c r="BH50" s="578">
        <v>163.92</v>
      </c>
      <c r="BI50" s="578">
        <v>0</v>
      </c>
      <c r="BJ50" s="578">
        <v>0</v>
      </c>
      <c r="BK50" s="578">
        <v>0</v>
      </c>
      <c r="BL50" s="578">
        <v>6351.25</v>
      </c>
      <c r="BM50" s="578">
        <v>0</v>
      </c>
      <c r="BN50" s="578">
        <v>0</v>
      </c>
      <c r="BO50" s="578">
        <v>10000</v>
      </c>
      <c r="BP50" s="578">
        <v>0</v>
      </c>
      <c r="BQ50" s="578">
        <v>0</v>
      </c>
      <c r="BR50" s="578">
        <v>0</v>
      </c>
      <c r="BS50" s="578">
        <v>0</v>
      </c>
      <c r="BT50" s="578">
        <v>0</v>
      </c>
      <c r="BU50" s="578">
        <v>466432.15</v>
      </c>
      <c r="BV50" s="578">
        <v>6351.88</v>
      </c>
      <c r="BW50" s="578">
        <v>0</v>
      </c>
      <c r="BX50" s="578">
        <v>0</v>
      </c>
      <c r="BY50" s="578">
        <v>0</v>
      </c>
      <c r="BZ50" s="578">
        <v>1652081.03</v>
      </c>
      <c r="CA50" s="578">
        <v>1706643.41</v>
      </c>
      <c r="CB50" s="578">
        <v>6351.25</v>
      </c>
      <c r="CC50" s="578">
        <v>0</v>
      </c>
      <c r="CD50" s="578">
        <v>472784.03</v>
      </c>
    </row>
    <row r="51" spans="1:82" hidden="1" x14ac:dyDescent="0.3">
      <c r="A51" s="574" t="s">
        <v>1636</v>
      </c>
      <c r="B51" s="577">
        <v>3303025</v>
      </c>
      <c r="C51" s="574">
        <f>_xlfn.XLOOKUP(B51,'[1]Blade-Export_15-08-2022_sources'!B:B,'[1]Blade-Export_15-08-2022_sources'!F:F,0,FALSE)</f>
        <v>330</v>
      </c>
      <c r="D51" s="574">
        <f>_xlfn.XLOOKUP($B51,'[1]Blade-Export_15-08-2022_sources'!$B:$B,'[1]Blade-Export_15-08-2022_sources'!G:G,0,FALSE)</f>
        <v>3025</v>
      </c>
      <c r="E51" s="574" t="str">
        <f>_xlfn.XLOOKUP($B51,'[1]Blade-Export_15-08-2022_sources'!$B:$B,'[1]Blade-Export_15-08-2022_sources'!H:H,0,FALSE)</f>
        <v xml:space="preserve">ST MARY'S CE (B29) JI </v>
      </c>
      <c r="F51" s="578">
        <v>223479.32</v>
      </c>
      <c r="G51" s="578">
        <v>0</v>
      </c>
      <c r="H51" s="578">
        <v>13778.54</v>
      </c>
      <c r="I51" s="578">
        <v>1835014.89</v>
      </c>
      <c r="J51" s="578">
        <v>0</v>
      </c>
      <c r="K51" s="578">
        <v>60965.63</v>
      </c>
      <c r="L51" s="578">
        <v>0</v>
      </c>
      <c r="M51" s="578">
        <v>130085</v>
      </c>
      <c r="N51" s="578">
        <v>3012.19</v>
      </c>
      <c r="O51" s="578">
        <v>0</v>
      </c>
      <c r="P51" s="578">
        <v>62541.07</v>
      </c>
      <c r="Q51" s="578">
        <v>150.63999999999999</v>
      </c>
      <c r="R51" s="578">
        <v>0</v>
      </c>
      <c r="S51" s="578">
        <v>0</v>
      </c>
      <c r="T51" s="578">
        <v>0</v>
      </c>
      <c r="U51" s="578">
        <v>26036.799999999999</v>
      </c>
      <c r="V51" s="578">
        <v>0</v>
      </c>
      <c r="W51" s="578"/>
      <c r="X51" s="578">
        <v>0</v>
      </c>
      <c r="Y51" s="578">
        <v>0</v>
      </c>
      <c r="Z51" s="578">
        <v>0</v>
      </c>
      <c r="AA51" s="578">
        <v>0</v>
      </c>
      <c r="AB51" s="578">
        <v>9781.56</v>
      </c>
      <c r="AC51" s="578">
        <v>13930</v>
      </c>
      <c r="AD51" s="578">
        <v>71056</v>
      </c>
      <c r="AE51" s="578">
        <v>1066014.81</v>
      </c>
      <c r="AF51" s="578">
        <v>50</v>
      </c>
      <c r="AG51" s="578">
        <v>300553.02</v>
      </c>
      <c r="AH51" s="578">
        <v>30768.77</v>
      </c>
      <c r="AI51" s="578">
        <v>168375.31</v>
      </c>
      <c r="AJ51" s="578">
        <v>43891.86</v>
      </c>
      <c r="AK51" s="578">
        <v>65731.27</v>
      </c>
      <c r="AL51" s="578">
        <v>2600.71</v>
      </c>
      <c r="AM51" s="578">
        <v>2315.5</v>
      </c>
      <c r="AN51" s="578">
        <v>0</v>
      </c>
      <c r="AO51" s="578">
        <v>0</v>
      </c>
      <c r="AP51" s="578">
        <v>28183.33</v>
      </c>
      <c r="AQ51" s="578">
        <v>0</v>
      </c>
      <c r="AR51" s="578">
        <v>3402.11</v>
      </c>
      <c r="AS51" s="578">
        <v>35177.53</v>
      </c>
      <c r="AT51" s="578">
        <v>24091.45</v>
      </c>
      <c r="AU51" s="578">
        <v>27014.400000000001</v>
      </c>
      <c r="AV51" s="578">
        <v>3622.5</v>
      </c>
      <c r="AW51" s="578">
        <v>82203.850000000006</v>
      </c>
      <c r="AX51" s="578">
        <v>7021.78</v>
      </c>
      <c r="AY51" s="578">
        <v>0</v>
      </c>
      <c r="AZ51" s="578">
        <v>44934.6</v>
      </c>
      <c r="BA51" s="578">
        <v>8200</v>
      </c>
      <c r="BB51" s="578">
        <v>0</v>
      </c>
      <c r="BC51" s="578">
        <v>41869.949999999997</v>
      </c>
      <c r="BD51" s="578">
        <v>213926.75</v>
      </c>
      <c r="BE51" s="578">
        <v>34854.839999999997</v>
      </c>
      <c r="BF51" s="578">
        <v>93497.76</v>
      </c>
      <c r="BG51" s="578">
        <v>0</v>
      </c>
      <c r="BH51" s="578">
        <v>0</v>
      </c>
      <c r="BI51" s="578">
        <v>0</v>
      </c>
      <c r="BJ51" s="578">
        <v>0</v>
      </c>
      <c r="BK51" s="578">
        <v>0</v>
      </c>
      <c r="BL51" s="578">
        <v>0</v>
      </c>
      <c r="BM51" s="578">
        <v>0</v>
      </c>
      <c r="BN51" s="578">
        <v>0</v>
      </c>
      <c r="BO51" s="578">
        <v>10000</v>
      </c>
      <c r="BP51" s="578">
        <v>0</v>
      </c>
      <c r="BQ51" s="578">
        <v>12385.5</v>
      </c>
      <c r="BR51" s="578">
        <v>0</v>
      </c>
      <c r="BS51" s="578">
        <v>0</v>
      </c>
      <c r="BT51" s="578">
        <v>0</v>
      </c>
      <c r="BU51" s="578">
        <v>107751.01</v>
      </c>
      <c r="BV51" s="578">
        <v>1393.04</v>
      </c>
      <c r="BW51" s="578">
        <v>0</v>
      </c>
      <c r="BX51" s="578">
        <v>0</v>
      </c>
      <c r="BY51" s="578">
        <v>0</v>
      </c>
      <c r="BZ51" s="578">
        <v>2212573.7799999998</v>
      </c>
      <c r="CA51" s="578">
        <v>2328302.1</v>
      </c>
      <c r="CB51" s="578">
        <v>0</v>
      </c>
      <c r="CC51" s="578">
        <v>12385.5</v>
      </c>
      <c r="CD51" s="578">
        <v>109144.05</v>
      </c>
    </row>
    <row r="52" spans="1:82" hidden="1" x14ac:dyDescent="0.3">
      <c r="A52" s="574" t="s">
        <v>1637</v>
      </c>
      <c r="B52" s="577">
        <v>3303344</v>
      </c>
      <c r="C52" s="574">
        <f>_xlfn.XLOOKUP(B52,'[1]Blade-Export_15-08-2022_sources'!B:B,'[1]Blade-Export_15-08-2022_sources'!F:F,0,FALSE)</f>
        <v>330</v>
      </c>
      <c r="D52" s="574">
        <f>_xlfn.XLOOKUP($B52,'[1]Blade-Export_15-08-2022_sources'!$B:$B,'[1]Blade-Export_15-08-2022_sources'!G:G,0,FALSE)</f>
        <v>3344</v>
      </c>
      <c r="E52" s="574" t="str">
        <f>_xlfn.XLOOKUP($B52,'[1]Blade-Export_15-08-2022_sources'!$B:$B,'[1]Blade-Export_15-08-2022_sources'!H:H,0,FALSE)</f>
        <v xml:space="preserve">ST MARY'S RC (B17) JI </v>
      </c>
      <c r="F52" s="578">
        <v>341481.86</v>
      </c>
      <c r="G52" s="578">
        <v>0</v>
      </c>
      <c r="H52" s="578">
        <v>0</v>
      </c>
      <c r="I52" s="578">
        <v>1728637.74</v>
      </c>
      <c r="J52" s="578">
        <v>0</v>
      </c>
      <c r="K52" s="578">
        <v>8209.75</v>
      </c>
      <c r="L52" s="578">
        <v>0</v>
      </c>
      <c r="M52" s="578">
        <v>81010</v>
      </c>
      <c r="N52" s="578">
        <v>1890</v>
      </c>
      <c r="O52" s="578">
        <v>0</v>
      </c>
      <c r="P52" s="578">
        <v>54391.41</v>
      </c>
      <c r="Q52" s="578">
        <v>321.33999999999997</v>
      </c>
      <c r="R52" s="578">
        <v>0</v>
      </c>
      <c r="S52" s="578">
        <v>0</v>
      </c>
      <c r="T52" s="578">
        <v>0</v>
      </c>
      <c r="U52" s="578">
        <v>1357</v>
      </c>
      <c r="V52" s="578">
        <v>0</v>
      </c>
      <c r="W52" s="578"/>
      <c r="X52" s="578">
        <v>0</v>
      </c>
      <c r="Y52" s="578">
        <v>0</v>
      </c>
      <c r="Z52" s="578">
        <v>0</v>
      </c>
      <c r="AA52" s="578">
        <v>0</v>
      </c>
      <c r="AB52" s="578">
        <v>7440</v>
      </c>
      <c r="AC52" s="578">
        <v>13800</v>
      </c>
      <c r="AD52" s="578">
        <v>73685</v>
      </c>
      <c r="AE52" s="578">
        <v>990803.11</v>
      </c>
      <c r="AF52" s="578">
        <v>0</v>
      </c>
      <c r="AG52" s="578">
        <v>388357.08</v>
      </c>
      <c r="AH52" s="578">
        <v>63431.27</v>
      </c>
      <c r="AI52" s="578">
        <v>121136.94</v>
      </c>
      <c r="AJ52" s="578">
        <v>370.5</v>
      </c>
      <c r="AK52" s="578">
        <v>80844</v>
      </c>
      <c r="AL52" s="578">
        <v>10047.879999999999</v>
      </c>
      <c r="AM52" s="578">
        <v>1834</v>
      </c>
      <c r="AN52" s="578">
        <v>0</v>
      </c>
      <c r="AO52" s="578">
        <v>0</v>
      </c>
      <c r="AP52" s="578">
        <v>27923.51</v>
      </c>
      <c r="AQ52" s="578">
        <v>0</v>
      </c>
      <c r="AR52" s="578">
        <v>4491.17</v>
      </c>
      <c r="AS52" s="578">
        <v>3387.36</v>
      </c>
      <c r="AT52" s="578">
        <v>28438.18</v>
      </c>
      <c r="AU52" s="578">
        <v>7718.4</v>
      </c>
      <c r="AV52" s="578">
        <v>4187.8100000000004</v>
      </c>
      <c r="AW52" s="578">
        <v>71147.91</v>
      </c>
      <c r="AX52" s="578">
        <v>3947.32</v>
      </c>
      <c r="AY52" s="578">
        <v>0</v>
      </c>
      <c r="AZ52" s="578">
        <v>11831.32</v>
      </c>
      <c r="BA52" s="578">
        <v>8200</v>
      </c>
      <c r="BB52" s="578">
        <v>0</v>
      </c>
      <c r="BC52" s="578">
        <v>83914.27</v>
      </c>
      <c r="BD52" s="578">
        <v>616.5</v>
      </c>
      <c r="BE52" s="578">
        <v>2725</v>
      </c>
      <c r="BF52" s="578">
        <v>159937.15</v>
      </c>
      <c r="BG52" s="578">
        <v>0</v>
      </c>
      <c r="BH52" s="578">
        <v>0</v>
      </c>
      <c r="BI52" s="578">
        <v>7084</v>
      </c>
      <c r="BJ52" s="578">
        <v>0</v>
      </c>
      <c r="BK52" s="578">
        <v>0</v>
      </c>
      <c r="BL52" s="578">
        <v>0</v>
      </c>
      <c r="BM52" s="578">
        <v>0</v>
      </c>
      <c r="BN52" s="578">
        <v>0</v>
      </c>
      <c r="BO52" s="578">
        <v>10000</v>
      </c>
      <c r="BP52" s="578">
        <v>0</v>
      </c>
      <c r="BQ52" s="578">
        <v>0</v>
      </c>
      <c r="BR52" s="578">
        <v>0</v>
      </c>
      <c r="BS52" s="578">
        <v>0</v>
      </c>
      <c r="BT52" s="578">
        <v>0</v>
      </c>
      <c r="BU52" s="578">
        <v>229849.41</v>
      </c>
      <c r="BV52" s="578">
        <v>0</v>
      </c>
      <c r="BW52" s="578">
        <v>0</v>
      </c>
      <c r="BX52" s="578">
        <v>0</v>
      </c>
      <c r="BY52" s="578">
        <v>0</v>
      </c>
      <c r="BZ52" s="578">
        <v>1970742.24</v>
      </c>
      <c r="CA52" s="578">
        <v>2082374.68</v>
      </c>
      <c r="CB52" s="578">
        <v>0</v>
      </c>
      <c r="CC52" s="578">
        <v>0</v>
      </c>
      <c r="CD52" s="578">
        <v>229849.41</v>
      </c>
    </row>
    <row r="53" spans="1:82" hidden="1" x14ac:dyDescent="0.3">
      <c r="A53" s="574" t="s">
        <v>1638</v>
      </c>
      <c r="B53" s="577">
        <v>3303382</v>
      </c>
      <c r="C53" s="574">
        <f>_xlfn.XLOOKUP(B53,'[1]Blade-Export_15-08-2022_sources'!B:B,'[1]Blade-Export_15-08-2022_sources'!F:F,0,FALSE)</f>
        <v>330</v>
      </c>
      <c r="D53" s="574">
        <f>_xlfn.XLOOKUP($B53,'[1]Blade-Export_15-08-2022_sources'!$B:$B,'[1]Blade-Export_15-08-2022_sources'!G:G,0,FALSE)</f>
        <v>3382</v>
      </c>
      <c r="E53" s="574" t="str">
        <f>_xlfn.XLOOKUP($B53,'[1]Blade-Export_15-08-2022_sources'!$B:$B,'[1]Blade-Export_15-08-2022_sources'!H:H,0,FALSE)</f>
        <v xml:space="preserve">ST MARTIN de PORRES RC JI </v>
      </c>
      <c r="F53" s="578">
        <v>136500.16</v>
      </c>
      <c r="G53" s="578">
        <v>0</v>
      </c>
      <c r="H53" s="578">
        <v>0</v>
      </c>
      <c r="I53" s="578">
        <v>988214.28</v>
      </c>
      <c r="J53" s="578">
        <v>0</v>
      </c>
      <c r="K53" s="578">
        <v>4766.9399999999996</v>
      </c>
      <c r="L53" s="578">
        <v>0</v>
      </c>
      <c r="M53" s="578">
        <v>97495</v>
      </c>
      <c r="N53" s="578">
        <v>2303.44</v>
      </c>
      <c r="O53" s="578">
        <v>0</v>
      </c>
      <c r="P53" s="578">
        <v>22372.91</v>
      </c>
      <c r="Q53" s="578">
        <v>191.1</v>
      </c>
      <c r="R53" s="578">
        <v>1801.02</v>
      </c>
      <c r="S53" s="578">
        <v>0</v>
      </c>
      <c r="T53" s="578">
        <v>0</v>
      </c>
      <c r="U53" s="578">
        <v>11516.66</v>
      </c>
      <c r="V53" s="578">
        <v>0</v>
      </c>
      <c r="W53" s="578"/>
      <c r="X53" s="578">
        <v>0</v>
      </c>
      <c r="Y53" s="578">
        <v>0</v>
      </c>
      <c r="Z53" s="578">
        <v>0</v>
      </c>
      <c r="AA53" s="578">
        <v>0</v>
      </c>
      <c r="AB53" s="578">
        <v>7450.94</v>
      </c>
      <c r="AC53" s="578">
        <v>6830</v>
      </c>
      <c r="AD53" s="578">
        <v>44481.5</v>
      </c>
      <c r="AE53" s="578">
        <v>524429.03</v>
      </c>
      <c r="AF53" s="578">
        <v>0</v>
      </c>
      <c r="AG53" s="578">
        <v>214923.69</v>
      </c>
      <c r="AH53" s="578">
        <v>21186.62</v>
      </c>
      <c r="AI53" s="578">
        <v>140577.44</v>
      </c>
      <c r="AJ53" s="578">
        <v>84.06</v>
      </c>
      <c r="AK53" s="578">
        <v>23035.040000000001</v>
      </c>
      <c r="AL53" s="578">
        <v>5691.15</v>
      </c>
      <c r="AM53" s="578">
        <v>2903.21</v>
      </c>
      <c r="AN53" s="578">
        <v>0</v>
      </c>
      <c r="AO53" s="578">
        <v>0</v>
      </c>
      <c r="AP53" s="578">
        <v>16629.93</v>
      </c>
      <c r="AQ53" s="578">
        <v>0</v>
      </c>
      <c r="AR53" s="578">
        <v>2511.16</v>
      </c>
      <c r="AS53" s="578">
        <v>4506.09</v>
      </c>
      <c r="AT53" s="578">
        <v>21230.560000000001</v>
      </c>
      <c r="AU53" s="578">
        <v>3859.2</v>
      </c>
      <c r="AV53" s="578">
        <v>3408.07</v>
      </c>
      <c r="AW53" s="578">
        <v>22175.17</v>
      </c>
      <c r="AX53" s="578">
        <v>2558.12</v>
      </c>
      <c r="AY53" s="578">
        <v>0</v>
      </c>
      <c r="AZ53" s="578">
        <v>8638.86</v>
      </c>
      <c r="BA53" s="578">
        <v>0</v>
      </c>
      <c r="BB53" s="578">
        <v>0</v>
      </c>
      <c r="BC53" s="578">
        <v>63152.55</v>
      </c>
      <c r="BD53" s="578">
        <v>26060.84</v>
      </c>
      <c r="BE53" s="578">
        <v>1162.4000000000001</v>
      </c>
      <c r="BF53" s="578">
        <v>75750.149999999994</v>
      </c>
      <c r="BG53" s="578">
        <v>0</v>
      </c>
      <c r="BH53" s="578">
        <v>0</v>
      </c>
      <c r="BI53" s="578">
        <v>0</v>
      </c>
      <c r="BJ53" s="578">
        <v>0</v>
      </c>
      <c r="BK53" s="578">
        <v>0</v>
      </c>
      <c r="BL53" s="578">
        <v>0</v>
      </c>
      <c r="BM53" s="578">
        <v>0</v>
      </c>
      <c r="BN53" s="578">
        <v>0</v>
      </c>
      <c r="BO53" s="578">
        <v>10000</v>
      </c>
      <c r="BP53" s="578">
        <v>0</v>
      </c>
      <c r="BQ53" s="578">
        <v>0</v>
      </c>
      <c r="BR53" s="578">
        <v>0</v>
      </c>
      <c r="BS53" s="578">
        <v>0</v>
      </c>
      <c r="BT53" s="578">
        <v>0</v>
      </c>
      <c r="BU53" s="578">
        <v>139450.6</v>
      </c>
      <c r="BV53" s="578">
        <v>0</v>
      </c>
      <c r="BW53" s="578">
        <v>0</v>
      </c>
      <c r="BX53" s="578">
        <v>0</v>
      </c>
      <c r="BY53" s="578">
        <v>0</v>
      </c>
      <c r="BZ53" s="578">
        <v>1187423.79</v>
      </c>
      <c r="CA53" s="578">
        <v>1184473.3400000001</v>
      </c>
      <c r="CB53" s="578">
        <v>0</v>
      </c>
      <c r="CC53" s="578">
        <v>0</v>
      </c>
      <c r="CD53" s="578">
        <v>139450.6</v>
      </c>
    </row>
    <row r="54" spans="1:82" hidden="1" x14ac:dyDescent="0.3">
      <c r="A54" s="574" t="s">
        <v>1639</v>
      </c>
      <c r="B54" s="577">
        <v>3303383</v>
      </c>
      <c r="C54" s="574">
        <f>_xlfn.XLOOKUP(B54,'[1]Blade-Export_15-08-2022_sources'!B:B,'[1]Blade-Export_15-08-2022_sources'!F:F,0,FALSE)</f>
        <v>330</v>
      </c>
      <c r="D54" s="574">
        <f>_xlfn.XLOOKUP($B54,'[1]Blade-Export_15-08-2022_sources'!$B:$B,'[1]Blade-Export_15-08-2022_sources'!G:G,0,FALSE)</f>
        <v>3383</v>
      </c>
      <c r="E54" s="574" t="str">
        <f>_xlfn.XLOOKUP($B54,'[1]Blade-Export_15-08-2022_sources'!$B:$B,'[1]Blade-Export_15-08-2022_sources'!H:H,0,FALSE)</f>
        <v xml:space="preserve">ST MARK'S RC JI </v>
      </c>
      <c r="F54" s="578">
        <v>240389.39</v>
      </c>
      <c r="G54" s="578">
        <v>0</v>
      </c>
      <c r="H54" s="578">
        <v>0</v>
      </c>
      <c r="I54" s="578">
        <v>989002.15</v>
      </c>
      <c r="J54" s="578">
        <v>0</v>
      </c>
      <c r="K54" s="578">
        <v>2505.83</v>
      </c>
      <c r="L54" s="578">
        <v>0</v>
      </c>
      <c r="M54" s="578">
        <v>78010</v>
      </c>
      <c r="N54" s="578">
        <v>1830.94</v>
      </c>
      <c r="O54" s="578">
        <v>0</v>
      </c>
      <c r="P54" s="578">
        <v>27752.68</v>
      </c>
      <c r="Q54" s="578">
        <v>142.16</v>
      </c>
      <c r="R54" s="578">
        <v>0</v>
      </c>
      <c r="S54" s="578">
        <v>0</v>
      </c>
      <c r="T54" s="578">
        <v>0</v>
      </c>
      <c r="U54" s="578">
        <v>8475.85</v>
      </c>
      <c r="V54" s="578">
        <v>0</v>
      </c>
      <c r="W54" s="578"/>
      <c r="X54" s="578">
        <v>0</v>
      </c>
      <c r="Y54" s="578">
        <v>0</v>
      </c>
      <c r="Z54" s="578">
        <v>0</v>
      </c>
      <c r="AA54" s="578">
        <v>0</v>
      </c>
      <c r="AB54" s="578">
        <v>6035.94</v>
      </c>
      <c r="AC54" s="578">
        <v>6960</v>
      </c>
      <c r="AD54" s="578">
        <v>46318</v>
      </c>
      <c r="AE54" s="578">
        <v>478225.87</v>
      </c>
      <c r="AF54" s="578">
        <v>0</v>
      </c>
      <c r="AG54" s="578">
        <v>140433.74</v>
      </c>
      <c r="AH54" s="578">
        <v>40113.35</v>
      </c>
      <c r="AI54" s="578">
        <v>80550.149999999994</v>
      </c>
      <c r="AJ54" s="578">
        <v>0</v>
      </c>
      <c r="AK54" s="578">
        <v>9146.5400000000009</v>
      </c>
      <c r="AL54" s="578">
        <v>2640.36</v>
      </c>
      <c r="AM54" s="578">
        <v>8572.2000000000007</v>
      </c>
      <c r="AN54" s="578">
        <v>0</v>
      </c>
      <c r="AO54" s="578">
        <v>0</v>
      </c>
      <c r="AP54" s="578">
        <v>77956.02</v>
      </c>
      <c r="AQ54" s="578">
        <v>4881.25</v>
      </c>
      <c r="AR54" s="578">
        <v>3391.18</v>
      </c>
      <c r="AS54" s="578">
        <v>5094.7</v>
      </c>
      <c r="AT54" s="578">
        <v>17567.98</v>
      </c>
      <c r="AU54" s="578">
        <v>3241.73</v>
      </c>
      <c r="AV54" s="578">
        <v>6392.31</v>
      </c>
      <c r="AW54" s="578">
        <v>89137.4</v>
      </c>
      <c r="AX54" s="578">
        <v>125.14</v>
      </c>
      <c r="AY54" s="578">
        <v>0</v>
      </c>
      <c r="AZ54" s="578">
        <v>12638.35</v>
      </c>
      <c r="BA54" s="578">
        <v>8429.89</v>
      </c>
      <c r="BB54" s="578">
        <v>0</v>
      </c>
      <c r="BC54" s="578">
        <v>58952.99</v>
      </c>
      <c r="BD54" s="578">
        <v>176078.98</v>
      </c>
      <c r="BE54" s="578">
        <v>12132.29</v>
      </c>
      <c r="BF54" s="578">
        <v>70035.7</v>
      </c>
      <c r="BG54" s="578">
        <v>0</v>
      </c>
      <c r="BH54" s="578">
        <v>0</v>
      </c>
      <c r="BI54" s="578">
        <v>0</v>
      </c>
      <c r="BJ54" s="578">
        <v>0</v>
      </c>
      <c r="BK54" s="578">
        <v>0</v>
      </c>
      <c r="BL54" s="578">
        <v>0</v>
      </c>
      <c r="BM54" s="578">
        <v>0</v>
      </c>
      <c r="BN54" s="578">
        <v>0</v>
      </c>
      <c r="BO54" s="578">
        <v>10000</v>
      </c>
      <c r="BP54" s="578">
        <v>0</v>
      </c>
      <c r="BQ54" s="578">
        <v>0</v>
      </c>
      <c r="BR54" s="578">
        <v>0</v>
      </c>
      <c r="BS54" s="578">
        <v>0</v>
      </c>
      <c r="BT54" s="578">
        <v>0</v>
      </c>
      <c r="BU54" s="578">
        <v>101684.82</v>
      </c>
      <c r="BV54" s="578">
        <v>0</v>
      </c>
      <c r="BW54" s="578">
        <v>0</v>
      </c>
      <c r="BX54" s="578">
        <v>0</v>
      </c>
      <c r="BY54" s="578">
        <v>0</v>
      </c>
      <c r="BZ54" s="578">
        <v>1167033.55</v>
      </c>
      <c r="CA54" s="578">
        <v>1305738.1200000001</v>
      </c>
      <c r="CB54" s="578">
        <v>0</v>
      </c>
      <c r="CC54" s="578">
        <v>0</v>
      </c>
      <c r="CD54" s="578">
        <v>101684.82</v>
      </c>
    </row>
    <row r="55" spans="1:82" hidden="1" x14ac:dyDescent="0.3">
      <c r="A55" s="574" t="s">
        <v>1640</v>
      </c>
      <c r="B55" s="577">
        <v>3303361</v>
      </c>
      <c r="C55" s="574">
        <f>_xlfn.XLOOKUP(B55,'[1]Blade-Export_15-08-2022_sources'!B:B,'[1]Blade-Export_15-08-2022_sources'!F:F,0,FALSE)</f>
        <v>330</v>
      </c>
      <c r="D55" s="574">
        <f>_xlfn.XLOOKUP($B55,'[1]Blade-Export_15-08-2022_sources'!$B:$B,'[1]Blade-Export_15-08-2022_sources'!G:G,0,FALSE)</f>
        <v>3361</v>
      </c>
      <c r="E55" s="574" t="str">
        <f>_xlfn.XLOOKUP($B55,'[1]Blade-Export_15-08-2022_sources'!$B:$B,'[1]Blade-Export_15-08-2022_sources'!H:H,0,FALSE)</f>
        <v xml:space="preserve">ST MARGARET MARY RC JI </v>
      </c>
      <c r="F55" s="578">
        <v>213645.9</v>
      </c>
      <c r="G55" s="578">
        <v>0</v>
      </c>
      <c r="H55" s="578">
        <v>0</v>
      </c>
      <c r="I55" s="578">
        <v>1841351.83</v>
      </c>
      <c r="J55" s="578">
        <v>0</v>
      </c>
      <c r="K55" s="578">
        <v>1544.17</v>
      </c>
      <c r="L55" s="578">
        <v>0</v>
      </c>
      <c r="M55" s="578">
        <v>212510</v>
      </c>
      <c r="N55" s="578">
        <v>4961.25</v>
      </c>
      <c r="O55" s="578">
        <v>0</v>
      </c>
      <c r="P55" s="578">
        <v>1050.48</v>
      </c>
      <c r="Q55" s="578">
        <v>299.10000000000002</v>
      </c>
      <c r="R55" s="578">
        <v>0</v>
      </c>
      <c r="S55" s="578">
        <v>0</v>
      </c>
      <c r="T55" s="578">
        <v>0</v>
      </c>
      <c r="U55" s="578">
        <v>6842.12</v>
      </c>
      <c r="V55" s="578">
        <v>0</v>
      </c>
      <c r="W55" s="578"/>
      <c r="X55" s="578">
        <v>0</v>
      </c>
      <c r="Y55" s="578">
        <v>0</v>
      </c>
      <c r="Z55" s="578">
        <v>0</v>
      </c>
      <c r="AA55" s="578">
        <v>0</v>
      </c>
      <c r="AB55" s="578">
        <v>16416.25</v>
      </c>
      <c r="AC55" s="578">
        <v>12430</v>
      </c>
      <c r="AD55" s="578">
        <v>50715</v>
      </c>
      <c r="AE55" s="578">
        <v>980447.3</v>
      </c>
      <c r="AF55" s="578">
        <v>0</v>
      </c>
      <c r="AG55" s="578">
        <v>440224.87</v>
      </c>
      <c r="AH55" s="578">
        <v>31205.64</v>
      </c>
      <c r="AI55" s="578">
        <v>145506.97</v>
      </c>
      <c r="AJ55" s="578">
        <v>0</v>
      </c>
      <c r="AK55" s="578">
        <v>80922.23</v>
      </c>
      <c r="AL55" s="578">
        <v>718.2</v>
      </c>
      <c r="AM55" s="578">
        <v>9198</v>
      </c>
      <c r="AN55" s="578">
        <v>0</v>
      </c>
      <c r="AO55" s="578">
        <v>0</v>
      </c>
      <c r="AP55" s="578">
        <v>58087.14</v>
      </c>
      <c r="AQ55" s="578">
        <v>62.53</v>
      </c>
      <c r="AR55" s="578">
        <v>5846.98</v>
      </c>
      <c r="AS55" s="578">
        <v>6964.32</v>
      </c>
      <c r="AT55" s="578">
        <v>15372.55</v>
      </c>
      <c r="AU55" s="578">
        <v>7942.23</v>
      </c>
      <c r="AV55" s="578">
        <v>9976.89</v>
      </c>
      <c r="AW55" s="578">
        <v>58023.85</v>
      </c>
      <c r="AX55" s="578">
        <v>22262.42</v>
      </c>
      <c r="AY55" s="578">
        <v>0</v>
      </c>
      <c r="AZ55" s="578">
        <v>17220.509999999998</v>
      </c>
      <c r="BA55" s="578">
        <v>13242.88</v>
      </c>
      <c r="BB55" s="578">
        <v>0</v>
      </c>
      <c r="BC55" s="578">
        <v>88585.96</v>
      </c>
      <c r="BD55" s="578">
        <v>0</v>
      </c>
      <c r="BE55" s="578">
        <v>332.79</v>
      </c>
      <c r="BF55" s="578">
        <v>91404.82</v>
      </c>
      <c r="BG55" s="578">
        <v>0</v>
      </c>
      <c r="BH55" s="578">
        <v>0</v>
      </c>
      <c r="BI55" s="578">
        <v>0</v>
      </c>
      <c r="BJ55" s="578">
        <v>0</v>
      </c>
      <c r="BK55" s="578">
        <v>0</v>
      </c>
      <c r="BL55" s="578">
        <v>0</v>
      </c>
      <c r="BM55" s="578">
        <v>0</v>
      </c>
      <c r="BN55" s="578">
        <v>0</v>
      </c>
      <c r="BO55" s="578">
        <v>10000</v>
      </c>
      <c r="BP55" s="578">
        <v>0</v>
      </c>
      <c r="BQ55" s="578">
        <v>0</v>
      </c>
      <c r="BR55" s="578">
        <v>0</v>
      </c>
      <c r="BS55" s="578">
        <v>0</v>
      </c>
      <c r="BT55" s="578">
        <v>0</v>
      </c>
      <c r="BU55" s="578">
        <v>278217.02</v>
      </c>
      <c r="BV55" s="578">
        <v>0</v>
      </c>
      <c r="BW55" s="578">
        <v>0</v>
      </c>
      <c r="BX55" s="578">
        <v>0</v>
      </c>
      <c r="BY55" s="578">
        <v>0</v>
      </c>
      <c r="BZ55" s="578">
        <v>2148120.2000000002</v>
      </c>
      <c r="CA55" s="578">
        <v>2083549.08</v>
      </c>
      <c r="CB55" s="578">
        <v>0</v>
      </c>
      <c r="CC55" s="578">
        <v>0</v>
      </c>
      <c r="CD55" s="578">
        <v>278217.02</v>
      </c>
    </row>
    <row r="56" spans="1:82" hidden="1" x14ac:dyDescent="0.3">
      <c r="A56" s="579" t="s">
        <v>1641</v>
      </c>
      <c r="B56" s="577">
        <v>3303307</v>
      </c>
      <c r="C56" s="574">
        <f>_xlfn.XLOOKUP(B56,'[1]Blade-Export_15-08-2022_sources'!B:B,'[1]Blade-Export_15-08-2022_sources'!F:F,0,FALSE)</f>
        <v>330</v>
      </c>
      <c r="D56" s="574">
        <f>_xlfn.XLOOKUP($B56,'[1]Blade-Export_15-08-2022_sources'!$B:$B,'[1]Blade-Export_15-08-2022_sources'!G:G,0,FALSE)</f>
        <v>3307</v>
      </c>
      <c r="E56" s="574" t="str">
        <f>_xlfn.XLOOKUP($B56,'[1]Blade-Export_15-08-2022_sources'!$B:$B,'[1]Blade-Export_15-08-2022_sources'!H:H,0,FALSE)</f>
        <v xml:space="preserve">ST LAURENCE CE J </v>
      </c>
      <c r="F56" s="578">
        <v>252357.2</v>
      </c>
      <c r="G56" s="578">
        <v>0</v>
      </c>
      <c r="H56" s="578">
        <v>0</v>
      </c>
      <c r="I56" s="578">
        <v>1520290.11</v>
      </c>
      <c r="J56" s="578">
        <v>0</v>
      </c>
      <c r="K56" s="578">
        <v>26069.32</v>
      </c>
      <c r="L56" s="578">
        <v>0</v>
      </c>
      <c r="M56" s="578">
        <v>131740</v>
      </c>
      <c r="N56" s="578">
        <v>3425.63</v>
      </c>
      <c r="O56" s="578">
        <v>0</v>
      </c>
      <c r="P56" s="578">
        <v>123384.81</v>
      </c>
      <c r="Q56" s="578">
        <v>328.92</v>
      </c>
      <c r="R56" s="578">
        <v>0</v>
      </c>
      <c r="S56" s="578">
        <v>0</v>
      </c>
      <c r="T56" s="578">
        <v>0</v>
      </c>
      <c r="U56" s="578">
        <v>11731.96</v>
      </c>
      <c r="V56" s="578">
        <v>0</v>
      </c>
      <c r="W56" s="578"/>
      <c r="X56" s="578">
        <v>0</v>
      </c>
      <c r="Y56" s="578">
        <v>0</v>
      </c>
      <c r="Z56" s="578">
        <v>0</v>
      </c>
      <c r="AA56" s="578">
        <v>0</v>
      </c>
      <c r="AB56" s="578">
        <v>10385.629999999999</v>
      </c>
      <c r="AC56" s="578">
        <v>11930</v>
      </c>
      <c r="AD56" s="578">
        <v>19565</v>
      </c>
      <c r="AE56" s="578">
        <v>975013.89</v>
      </c>
      <c r="AF56" s="578">
        <v>0</v>
      </c>
      <c r="AG56" s="578">
        <v>167023.79</v>
      </c>
      <c r="AH56" s="578">
        <v>67259.66</v>
      </c>
      <c r="AI56" s="578">
        <v>142410.63</v>
      </c>
      <c r="AJ56" s="578">
        <v>0</v>
      </c>
      <c r="AK56" s="578">
        <v>50818.07</v>
      </c>
      <c r="AL56" s="578">
        <v>1605.67</v>
      </c>
      <c r="AM56" s="578">
        <v>4103</v>
      </c>
      <c r="AN56" s="578">
        <v>0</v>
      </c>
      <c r="AO56" s="578">
        <v>0</v>
      </c>
      <c r="AP56" s="578">
        <v>10841.47</v>
      </c>
      <c r="AQ56" s="578">
        <v>4554.1400000000003</v>
      </c>
      <c r="AR56" s="578">
        <v>4765.24</v>
      </c>
      <c r="AS56" s="578">
        <v>11415.97</v>
      </c>
      <c r="AT56" s="578">
        <v>40648.160000000003</v>
      </c>
      <c r="AU56" s="578">
        <v>5874.98</v>
      </c>
      <c r="AV56" s="578">
        <v>9306.07</v>
      </c>
      <c r="AW56" s="578">
        <v>66857.67</v>
      </c>
      <c r="AX56" s="578">
        <v>5812.32</v>
      </c>
      <c r="AY56" s="578">
        <v>0</v>
      </c>
      <c r="AZ56" s="578">
        <v>16093.61</v>
      </c>
      <c r="BA56" s="578">
        <v>8200</v>
      </c>
      <c r="BB56" s="578">
        <v>0</v>
      </c>
      <c r="BC56" s="578">
        <v>13548.47</v>
      </c>
      <c r="BD56" s="578">
        <v>84089.93</v>
      </c>
      <c r="BE56" s="578">
        <v>13744.11</v>
      </c>
      <c r="BF56" s="578">
        <v>171951.33</v>
      </c>
      <c r="BG56" s="578">
        <v>0</v>
      </c>
      <c r="BH56" s="578">
        <v>0</v>
      </c>
      <c r="BI56" s="578">
        <v>0</v>
      </c>
      <c r="BJ56" s="578">
        <v>0</v>
      </c>
      <c r="BK56" s="578">
        <v>0</v>
      </c>
      <c r="BL56" s="578">
        <v>0</v>
      </c>
      <c r="BM56" s="578">
        <v>0</v>
      </c>
      <c r="BN56" s="578">
        <v>0</v>
      </c>
      <c r="BO56" s="578">
        <v>10000</v>
      </c>
      <c r="BP56" s="578">
        <v>0</v>
      </c>
      <c r="BQ56" s="578">
        <v>0</v>
      </c>
      <c r="BR56" s="578">
        <v>0</v>
      </c>
      <c r="BS56" s="578">
        <v>0</v>
      </c>
      <c r="BT56" s="578">
        <v>0</v>
      </c>
      <c r="BU56" s="578">
        <v>235270.38</v>
      </c>
      <c r="BV56" s="578">
        <v>0</v>
      </c>
      <c r="BW56" s="578">
        <v>0</v>
      </c>
      <c r="BX56" s="578">
        <v>0</v>
      </c>
      <c r="BY56" s="578">
        <v>0</v>
      </c>
      <c r="BZ56" s="578">
        <v>1858851.38</v>
      </c>
      <c r="CA56" s="578">
        <v>1875938.18</v>
      </c>
      <c r="CB56" s="578">
        <v>0</v>
      </c>
      <c r="CC56" s="578">
        <v>0</v>
      </c>
      <c r="CD56" s="578">
        <v>235270.38</v>
      </c>
    </row>
    <row r="57" spans="1:82" hidden="1" x14ac:dyDescent="0.3">
      <c r="A57" s="574" t="s">
        <v>1642</v>
      </c>
      <c r="B57" s="577">
        <v>3303371</v>
      </c>
      <c r="C57" s="574">
        <f>_xlfn.XLOOKUP(B57,'[1]Blade-Export_15-08-2022_sources'!B:B,'[1]Blade-Export_15-08-2022_sources'!F:F,0,FALSE)</f>
        <v>330</v>
      </c>
      <c r="D57" s="574">
        <f>_xlfn.XLOOKUP($B57,'[1]Blade-Export_15-08-2022_sources'!$B:$B,'[1]Blade-Export_15-08-2022_sources'!G:G,0,FALSE)</f>
        <v>3371</v>
      </c>
      <c r="E57" s="574" t="str">
        <f>_xlfn.XLOOKUP($B57,'[1]Blade-Export_15-08-2022_sources'!$B:$B,'[1]Blade-Export_15-08-2022_sources'!H:H,0,FALSE)</f>
        <v xml:space="preserve">ST LAURENCE CE I </v>
      </c>
      <c r="F57" s="578">
        <v>167355.94</v>
      </c>
      <c r="G57" s="578">
        <v>0</v>
      </c>
      <c r="H57" s="578">
        <v>0</v>
      </c>
      <c r="I57" s="578">
        <v>1191177.17</v>
      </c>
      <c r="J57" s="578">
        <v>0</v>
      </c>
      <c r="K57" s="578">
        <v>21292.5</v>
      </c>
      <c r="L57" s="578">
        <v>0</v>
      </c>
      <c r="M57" s="578">
        <v>69145</v>
      </c>
      <c r="N57" s="578">
        <v>1181.25</v>
      </c>
      <c r="O57" s="578">
        <v>0</v>
      </c>
      <c r="P57" s="578">
        <v>39468.519999999997</v>
      </c>
      <c r="Q57" s="578">
        <v>0</v>
      </c>
      <c r="R57" s="578">
        <v>15417.22</v>
      </c>
      <c r="S57" s="578">
        <v>0</v>
      </c>
      <c r="T57" s="578">
        <v>845</v>
      </c>
      <c r="U57" s="578">
        <v>111.78</v>
      </c>
      <c r="V57" s="578">
        <v>0</v>
      </c>
      <c r="W57" s="578"/>
      <c r="X57" s="578">
        <v>0</v>
      </c>
      <c r="Y57" s="578">
        <v>0</v>
      </c>
      <c r="Z57" s="578">
        <v>0</v>
      </c>
      <c r="AA57" s="578">
        <v>0</v>
      </c>
      <c r="AB57" s="578">
        <v>5788.75</v>
      </c>
      <c r="AC57" s="578">
        <v>9030</v>
      </c>
      <c r="AD57" s="578">
        <v>110258</v>
      </c>
      <c r="AE57" s="578">
        <v>623594.48</v>
      </c>
      <c r="AF57" s="578">
        <v>26656.55</v>
      </c>
      <c r="AG57" s="578">
        <v>226470.2</v>
      </c>
      <c r="AH57" s="578">
        <v>56970.67</v>
      </c>
      <c r="AI57" s="578">
        <v>87109.46</v>
      </c>
      <c r="AJ57" s="578">
        <v>72773.02</v>
      </c>
      <c r="AK57" s="578">
        <v>53947.32</v>
      </c>
      <c r="AL57" s="578">
        <v>1747.4</v>
      </c>
      <c r="AM57" s="578">
        <v>4209</v>
      </c>
      <c r="AN57" s="578">
        <v>0</v>
      </c>
      <c r="AO57" s="578">
        <v>2530</v>
      </c>
      <c r="AP57" s="578">
        <v>41193.410000000003</v>
      </c>
      <c r="AQ57" s="578">
        <v>144</v>
      </c>
      <c r="AR57" s="578">
        <v>4841.53</v>
      </c>
      <c r="AS57" s="578">
        <v>4567.07</v>
      </c>
      <c r="AT57" s="578">
        <v>14052.7</v>
      </c>
      <c r="AU57" s="578">
        <v>3050.31</v>
      </c>
      <c r="AV57" s="578">
        <v>18164.669999999998</v>
      </c>
      <c r="AW57" s="578">
        <v>43183.43</v>
      </c>
      <c r="AX57" s="578">
        <v>9027.33</v>
      </c>
      <c r="AY57" s="578">
        <v>0</v>
      </c>
      <c r="AZ57" s="578">
        <v>49604.94</v>
      </c>
      <c r="BA57" s="578">
        <v>4450</v>
      </c>
      <c r="BB57" s="578">
        <v>0</v>
      </c>
      <c r="BC57" s="578">
        <v>22788.5</v>
      </c>
      <c r="BD57" s="578">
        <v>0</v>
      </c>
      <c r="BE57" s="578">
        <v>0</v>
      </c>
      <c r="BF57" s="578">
        <v>137036.81</v>
      </c>
      <c r="BG57" s="578">
        <v>0</v>
      </c>
      <c r="BH57" s="578">
        <v>156.58000000000001</v>
      </c>
      <c r="BI57" s="578">
        <v>0</v>
      </c>
      <c r="BJ57" s="578">
        <v>0</v>
      </c>
      <c r="BK57" s="578">
        <v>0</v>
      </c>
      <c r="BL57" s="578">
        <v>0</v>
      </c>
      <c r="BM57" s="578">
        <v>0</v>
      </c>
      <c r="BN57" s="578">
        <v>0</v>
      </c>
      <c r="BO57" s="578">
        <v>10000</v>
      </c>
      <c r="BP57" s="578">
        <v>0</v>
      </c>
      <c r="BQ57" s="578">
        <v>0</v>
      </c>
      <c r="BR57" s="578">
        <v>0</v>
      </c>
      <c r="BS57" s="578">
        <v>0</v>
      </c>
      <c r="BT57" s="578">
        <v>0</v>
      </c>
      <c r="BU57" s="578">
        <v>122801.74</v>
      </c>
      <c r="BV57" s="578">
        <v>0</v>
      </c>
      <c r="BW57" s="578">
        <v>0</v>
      </c>
      <c r="BX57" s="578">
        <v>0</v>
      </c>
      <c r="BY57" s="578">
        <v>0</v>
      </c>
      <c r="BZ57" s="578">
        <v>1463715.19</v>
      </c>
      <c r="CA57" s="578">
        <v>1508269.38</v>
      </c>
      <c r="CB57" s="578">
        <v>0</v>
      </c>
      <c r="CC57" s="578">
        <v>0</v>
      </c>
      <c r="CD57" s="578">
        <v>122801.74</v>
      </c>
    </row>
    <row r="58" spans="1:82" hidden="1" x14ac:dyDescent="0.3">
      <c r="A58" s="574" t="s">
        <v>1643</v>
      </c>
      <c r="B58" s="577">
        <v>3303377</v>
      </c>
      <c r="C58" s="574">
        <f>_xlfn.XLOOKUP(B58,'[1]Blade-Export_15-08-2022_sources'!B:B,'[1]Blade-Export_15-08-2022_sources'!F:F,0,FALSE)</f>
        <v>330</v>
      </c>
      <c r="D58" s="574">
        <f>_xlfn.XLOOKUP($B58,'[1]Blade-Export_15-08-2022_sources'!$B:$B,'[1]Blade-Export_15-08-2022_sources'!G:G,0,FALSE)</f>
        <v>3377</v>
      </c>
      <c r="E58" s="574" t="str">
        <f>_xlfn.XLOOKUP($B58,'[1]Blade-Export_15-08-2022_sources'!$B:$B,'[1]Blade-Export_15-08-2022_sources'!H:H,0,FALSE)</f>
        <v xml:space="preserve">ST JUDE'S RC JI </v>
      </c>
      <c r="F58" s="578">
        <v>198737.15</v>
      </c>
      <c r="G58" s="578">
        <v>0</v>
      </c>
      <c r="H58" s="578">
        <v>0</v>
      </c>
      <c r="I58" s="578">
        <v>1095098.19</v>
      </c>
      <c r="J58" s="578">
        <v>0</v>
      </c>
      <c r="K58" s="578">
        <v>9666.58</v>
      </c>
      <c r="L58" s="578">
        <v>0</v>
      </c>
      <c r="M58" s="578">
        <v>174850</v>
      </c>
      <c r="N58" s="578">
        <v>4016.25</v>
      </c>
      <c r="O58" s="578">
        <v>0</v>
      </c>
      <c r="P58" s="578">
        <v>20194.41</v>
      </c>
      <c r="Q58" s="578">
        <v>0</v>
      </c>
      <c r="R58" s="578">
        <v>0</v>
      </c>
      <c r="S58" s="578">
        <v>0</v>
      </c>
      <c r="T58" s="578">
        <v>0</v>
      </c>
      <c r="U58" s="578">
        <v>4057.05</v>
      </c>
      <c r="V58" s="578">
        <v>0</v>
      </c>
      <c r="W58" s="578"/>
      <c r="X58" s="578">
        <v>0</v>
      </c>
      <c r="Y58" s="578">
        <v>0</v>
      </c>
      <c r="Z58" s="578">
        <v>0</v>
      </c>
      <c r="AA58" s="578">
        <v>0</v>
      </c>
      <c r="AB58" s="578">
        <v>13441.25</v>
      </c>
      <c r="AC58" s="578">
        <v>6360</v>
      </c>
      <c r="AD58" s="578">
        <v>30629</v>
      </c>
      <c r="AE58" s="578">
        <v>605230.44999999995</v>
      </c>
      <c r="AF58" s="578">
        <v>0</v>
      </c>
      <c r="AG58" s="578">
        <v>226817.93</v>
      </c>
      <c r="AH58" s="578">
        <v>55602.04</v>
      </c>
      <c r="AI58" s="578">
        <v>98091.63</v>
      </c>
      <c r="AJ58" s="578">
        <v>0</v>
      </c>
      <c r="AK58" s="578">
        <v>33031.43</v>
      </c>
      <c r="AL58" s="578">
        <v>1295</v>
      </c>
      <c r="AM58" s="578">
        <v>1949</v>
      </c>
      <c r="AN58" s="578">
        <v>0</v>
      </c>
      <c r="AO58" s="578">
        <v>3605.37</v>
      </c>
      <c r="AP58" s="578">
        <v>27459.4</v>
      </c>
      <c r="AQ58" s="578">
        <v>888.42</v>
      </c>
      <c r="AR58" s="578">
        <v>979.05</v>
      </c>
      <c r="AS58" s="578">
        <v>807.51</v>
      </c>
      <c r="AT58" s="578">
        <v>11135.42</v>
      </c>
      <c r="AU58" s="578">
        <v>3679.1</v>
      </c>
      <c r="AV58" s="578">
        <v>2539.5</v>
      </c>
      <c r="AW58" s="578">
        <v>37370.31</v>
      </c>
      <c r="AX58" s="578">
        <v>4050.27</v>
      </c>
      <c r="AY58" s="578">
        <v>0</v>
      </c>
      <c r="AZ58" s="578">
        <v>51619.23</v>
      </c>
      <c r="BA58" s="578">
        <v>0</v>
      </c>
      <c r="BB58" s="578">
        <v>0</v>
      </c>
      <c r="BC58" s="578">
        <v>46115.46</v>
      </c>
      <c r="BD58" s="578">
        <v>13553.61</v>
      </c>
      <c r="BE58" s="578">
        <v>2903</v>
      </c>
      <c r="BF58" s="578">
        <v>81201.03</v>
      </c>
      <c r="BG58" s="578">
        <v>0</v>
      </c>
      <c r="BH58" s="578">
        <v>146.74</v>
      </c>
      <c r="BI58" s="578">
        <v>0</v>
      </c>
      <c r="BJ58" s="578">
        <v>0</v>
      </c>
      <c r="BK58" s="578">
        <v>0</v>
      </c>
      <c r="BL58" s="578">
        <v>0</v>
      </c>
      <c r="BM58" s="578">
        <v>0</v>
      </c>
      <c r="BN58" s="578">
        <v>0</v>
      </c>
      <c r="BO58" s="578">
        <v>10000</v>
      </c>
      <c r="BP58" s="578">
        <v>0</v>
      </c>
      <c r="BQ58" s="578">
        <v>0</v>
      </c>
      <c r="BR58" s="578">
        <v>0</v>
      </c>
      <c r="BS58" s="578">
        <v>0</v>
      </c>
      <c r="BT58" s="578">
        <v>0</v>
      </c>
      <c r="BU58" s="578">
        <v>246978.99</v>
      </c>
      <c r="BV58" s="578">
        <v>0</v>
      </c>
      <c r="BW58" s="578">
        <v>0</v>
      </c>
      <c r="BX58" s="578">
        <v>0</v>
      </c>
      <c r="BY58" s="578">
        <v>0</v>
      </c>
      <c r="BZ58" s="578">
        <v>1358312.73</v>
      </c>
      <c r="CA58" s="578">
        <v>1310070.8999999999</v>
      </c>
      <c r="CB58" s="578">
        <v>0</v>
      </c>
      <c r="CC58" s="578">
        <v>0</v>
      </c>
      <c r="CD58" s="578">
        <v>246978.99</v>
      </c>
    </row>
    <row r="59" spans="1:82" hidden="1" x14ac:dyDescent="0.3">
      <c r="A59" s="574" t="s">
        <v>1644</v>
      </c>
      <c r="B59" s="577">
        <v>3303339</v>
      </c>
      <c r="C59" s="574">
        <f>_xlfn.XLOOKUP(B59,'[1]Blade-Export_15-08-2022_sources'!B:B,'[1]Blade-Export_15-08-2022_sources'!F:F,0,FALSE)</f>
        <v>330</v>
      </c>
      <c r="D59" s="574">
        <f>_xlfn.XLOOKUP($B59,'[1]Blade-Export_15-08-2022_sources'!$B:$B,'[1]Blade-Export_15-08-2022_sources'!G:G,0,FALSE)</f>
        <v>3339</v>
      </c>
      <c r="E59" s="574" t="str">
        <f>_xlfn.XLOOKUP($B59,'[1]Blade-Export_15-08-2022_sources'!$B:$B,'[1]Blade-Export_15-08-2022_sources'!H:H,0,FALSE)</f>
        <v xml:space="preserve">ST JOSEPH'S RC (B7) JI </v>
      </c>
      <c r="F59" s="578">
        <v>127447.28</v>
      </c>
      <c r="G59" s="578">
        <v>0</v>
      </c>
      <c r="H59" s="578">
        <v>0</v>
      </c>
      <c r="I59" s="578">
        <v>478736.59</v>
      </c>
      <c r="J59" s="578">
        <v>0</v>
      </c>
      <c r="K59" s="578">
        <v>6012.08</v>
      </c>
      <c r="L59" s="578">
        <v>0</v>
      </c>
      <c r="M59" s="578">
        <v>72293.75</v>
      </c>
      <c r="N59" s="578">
        <v>0</v>
      </c>
      <c r="O59" s="578">
        <v>0</v>
      </c>
      <c r="P59" s="578">
        <v>7242.55</v>
      </c>
      <c r="Q59" s="578">
        <v>7.85</v>
      </c>
      <c r="R59" s="578">
        <v>741.21</v>
      </c>
      <c r="S59" s="578">
        <v>0</v>
      </c>
      <c r="T59" s="578">
        <v>0</v>
      </c>
      <c r="U59" s="578">
        <v>1165.5</v>
      </c>
      <c r="V59" s="578">
        <v>0</v>
      </c>
      <c r="W59" s="578"/>
      <c r="X59" s="578">
        <v>0</v>
      </c>
      <c r="Y59" s="578">
        <v>0</v>
      </c>
      <c r="Z59" s="578">
        <v>0</v>
      </c>
      <c r="AA59" s="578">
        <v>0</v>
      </c>
      <c r="AB59" s="578">
        <v>0</v>
      </c>
      <c r="AC59" s="578">
        <v>6700</v>
      </c>
      <c r="AD59" s="578">
        <v>18571</v>
      </c>
      <c r="AE59" s="578">
        <v>239692.32</v>
      </c>
      <c r="AF59" s="578">
        <v>8251.91</v>
      </c>
      <c r="AG59" s="578">
        <v>107358.68</v>
      </c>
      <c r="AH59" s="578">
        <v>5241.6400000000003</v>
      </c>
      <c r="AI59" s="578">
        <v>70948.97</v>
      </c>
      <c r="AJ59" s="578">
        <v>0</v>
      </c>
      <c r="AK59" s="578">
        <v>6944.1</v>
      </c>
      <c r="AL59" s="578">
        <v>454.7</v>
      </c>
      <c r="AM59" s="578">
        <v>1450.5</v>
      </c>
      <c r="AN59" s="578">
        <v>0</v>
      </c>
      <c r="AO59" s="578">
        <v>0</v>
      </c>
      <c r="AP59" s="578">
        <v>4637.79</v>
      </c>
      <c r="AQ59" s="578">
        <v>1390.73</v>
      </c>
      <c r="AR59" s="578">
        <v>925.14</v>
      </c>
      <c r="AS59" s="578">
        <v>668.81</v>
      </c>
      <c r="AT59" s="578">
        <v>7957.02</v>
      </c>
      <c r="AU59" s="578">
        <v>1466.71</v>
      </c>
      <c r="AV59" s="578">
        <v>1228.8</v>
      </c>
      <c r="AW59" s="578">
        <v>4361.33</v>
      </c>
      <c r="AX59" s="578">
        <v>2491.96</v>
      </c>
      <c r="AY59" s="578">
        <v>0</v>
      </c>
      <c r="AZ59" s="578">
        <v>143175.26999999999</v>
      </c>
      <c r="BA59" s="578">
        <v>1854</v>
      </c>
      <c r="BB59" s="578">
        <v>0</v>
      </c>
      <c r="BC59" s="578">
        <v>57418.91</v>
      </c>
      <c r="BD59" s="578">
        <v>0</v>
      </c>
      <c r="BE59" s="578">
        <v>309.01</v>
      </c>
      <c r="BF59" s="578">
        <v>50689.51</v>
      </c>
      <c r="BG59" s="578">
        <v>0</v>
      </c>
      <c r="BH59" s="578">
        <v>0</v>
      </c>
      <c r="BI59" s="578">
        <v>0</v>
      </c>
      <c r="BJ59" s="578">
        <v>0</v>
      </c>
      <c r="BK59" s="578">
        <v>0</v>
      </c>
      <c r="BL59" s="578">
        <v>0</v>
      </c>
      <c r="BM59" s="578">
        <v>0</v>
      </c>
      <c r="BN59" s="578">
        <v>0</v>
      </c>
      <c r="BO59" s="578">
        <v>10000</v>
      </c>
      <c r="BP59" s="578">
        <v>0</v>
      </c>
      <c r="BQ59" s="578">
        <v>0</v>
      </c>
      <c r="BR59" s="578">
        <v>0</v>
      </c>
      <c r="BS59" s="578">
        <v>0</v>
      </c>
      <c r="BT59" s="578">
        <v>0</v>
      </c>
      <c r="BU59" s="578">
        <v>0</v>
      </c>
      <c r="BV59" s="578">
        <v>0</v>
      </c>
      <c r="BW59" s="578">
        <v>0</v>
      </c>
      <c r="BX59" s="578">
        <v>0</v>
      </c>
      <c r="BY59" s="578">
        <v>0</v>
      </c>
      <c r="BZ59" s="578">
        <v>591470.53</v>
      </c>
      <c r="CA59" s="578">
        <v>718917.81</v>
      </c>
      <c r="CB59" s="578">
        <v>0</v>
      </c>
      <c r="CC59" s="578">
        <v>0</v>
      </c>
      <c r="CD59" s="578">
        <v>0</v>
      </c>
    </row>
    <row r="60" spans="1:82" hidden="1" x14ac:dyDescent="0.3">
      <c r="A60" s="574" t="s">
        <v>1645</v>
      </c>
      <c r="B60" s="577">
        <v>3304625</v>
      </c>
      <c r="C60" s="574">
        <f>_xlfn.XLOOKUP(B60,'[1]Blade-Export_15-08-2022_sources'!B:B,'[1]Blade-Export_15-08-2022_sources'!F:F,0,FALSE)</f>
        <v>330</v>
      </c>
      <c r="D60" s="574">
        <f>_xlfn.XLOOKUP($B60,'[1]Blade-Export_15-08-2022_sources'!$B:$B,'[1]Blade-Export_15-08-2022_sources'!G:G,0,FALSE)</f>
        <v>4625</v>
      </c>
      <c r="E60" s="574" t="str">
        <f>_xlfn.XLOOKUP($B60,'[1]Blade-Export_15-08-2022_sources'!$B:$B,'[1]Blade-Export_15-08-2022_sources'!H:H,0,FALSE)</f>
        <v xml:space="preserve">ST JOHN WALL RC Sec </v>
      </c>
      <c r="F60" s="578">
        <v>152824.14000000001</v>
      </c>
      <c r="G60" s="578">
        <v>0</v>
      </c>
      <c r="H60" s="578">
        <v>0</v>
      </c>
      <c r="I60" s="578">
        <v>4259093.21</v>
      </c>
      <c r="J60" s="578">
        <v>0</v>
      </c>
      <c r="K60" s="578">
        <v>4800</v>
      </c>
      <c r="L60" s="578">
        <v>0</v>
      </c>
      <c r="M60" s="578">
        <v>334261.19</v>
      </c>
      <c r="N60" s="578">
        <v>11812.5</v>
      </c>
      <c r="O60" s="578">
        <v>0</v>
      </c>
      <c r="P60" s="578">
        <v>148580.31</v>
      </c>
      <c r="Q60" s="578">
        <v>213.95</v>
      </c>
      <c r="R60" s="578">
        <v>5527.4</v>
      </c>
      <c r="S60" s="578">
        <v>0</v>
      </c>
      <c r="T60" s="578">
        <v>0</v>
      </c>
      <c r="U60" s="578">
        <v>0</v>
      </c>
      <c r="V60" s="578">
        <v>0</v>
      </c>
      <c r="W60" s="578"/>
      <c r="X60" s="578">
        <v>0</v>
      </c>
      <c r="Y60" s="578">
        <v>0</v>
      </c>
      <c r="Z60" s="578">
        <v>0</v>
      </c>
      <c r="AA60" s="578">
        <v>0</v>
      </c>
      <c r="AB60" s="578">
        <v>65770.48</v>
      </c>
      <c r="AC60" s="578">
        <v>20660</v>
      </c>
      <c r="AD60" s="578">
        <v>0</v>
      </c>
      <c r="AE60" s="578">
        <v>2658309.16</v>
      </c>
      <c r="AF60" s="578">
        <v>0</v>
      </c>
      <c r="AG60" s="578">
        <v>6191.55</v>
      </c>
      <c r="AH60" s="578">
        <v>143947.51999999999</v>
      </c>
      <c r="AI60" s="578">
        <v>764179.69</v>
      </c>
      <c r="AJ60" s="578">
        <v>0</v>
      </c>
      <c r="AK60" s="578">
        <v>285461.03000000003</v>
      </c>
      <c r="AL60" s="578">
        <v>107175.88</v>
      </c>
      <c r="AM60" s="578">
        <v>1031.23</v>
      </c>
      <c r="AN60" s="578">
        <v>0</v>
      </c>
      <c r="AO60" s="578">
        <v>0</v>
      </c>
      <c r="AP60" s="578">
        <v>134246.24</v>
      </c>
      <c r="AQ60" s="578">
        <v>7742.22</v>
      </c>
      <c r="AR60" s="578">
        <v>3015.89</v>
      </c>
      <c r="AS60" s="578">
        <v>2054.61</v>
      </c>
      <c r="AT60" s="578">
        <v>52240.03</v>
      </c>
      <c r="AU60" s="578">
        <v>14510.59</v>
      </c>
      <c r="AV60" s="578">
        <v>7397.9</v>
      </c>
      <c r="AW60" s="578">
        <v>192258.43</v>
      </c>
      <c r="AX60" s="578">
        <v>0</v>
      </c>
      <c r="AY60" s="578">
        <v>25245.52</v>
      </c>
      <c r="AZ60" s="578">
        <v>171814.47</v>
      </c>
      <c r="BA60" s="578">
        <v>0</v>
      </c>
      <c r="BB60" s="578">
        <v>0</v>
      </c>
      <c r="BC60" s="578">
        <v>83772.34</v>
      </c>
      <c r="BD60" s="578">
        <v>0</v>
      </c>
      <c r="BE60" s="578">
        <v>625</v>
      </c>
      <c r="BF60" s="578">
        <v>62607.75</v>
      </c>
      <c r="BG60" s="578">
        <v>0</v>
      </c>
      <c r="BH60" s="578">
        <v>0</v>
      </c>
      <c r="BI60" s="578">
        <v>94411.53</v>
      </c>
      <c r="BJ60" s="578">
        <v>0</v>
      </c>
      <c r="BK60" s="578">
        <v>0</v>
      </c>
      <c r="BL60" s="578">
        <v>0</v>
      </c>
      <c r="BM60" s="578">
        <v>0</v>
      </c>
      <c r="BN60" s="578">
        <v>0</v>
      </c>
      <c r="BO60" s="578">
        <v>10000</v>
      </c>
      <c r="BP60" s="578">
        <v>0</v>
      </c>
      <c r="BQ60" s="578">
        <v>0</v>
      </c>
      <c r="BR60" s="578">
        <v>0</v>
      </c>
      <c r="BS60" s="578">
        <v>0</v>
      </c>
      <c r="BT60" s="578">
        <v>0</v>
      </c>
      <c r="BU60" s="578">
        <v>185304.61</v>
      </c>
      <c r="BV60" s="578">
        <v>0</v>
      </c>
      <c r="BW60" s="578">
        <v>0</v>
      </c>
      <c r="BX60" s="578">
        <v>0</v>
      </c>
      <c r="BY60" s="578">
        <v>0</v>
      </c>
      <c r="BZ60" s="578">
        <v>4850719.04</v>
      </c>
      <c r="CA60" s="578">
        <v>4818238.58</v>
      </c>
      <c r="CB60" s="578">
        <v>0</v>
      </c>
      <c r="CC60" s="578">
        <v>0</v>
      </c>
      <c r="CD60" s="578">
        <v>185304.61</v>
      </c>
    </row>
    <row r="61" spans="1:82" hidden="1" x14ac:dyDescent="0.3">
      <c r="A61" s="574" t="s">
        <v>1646</v>
      </c>
      <c r="B61" s="577">
        <v>3303010</v>
      </c>
      <c r="C61" s="574">
        <f>_xlfn.XLOOKUP(B61,'[1]Blade-Export_15-08-2022_sources'!B:B,'[1]Blade-Export_15-08-2022_sources'!F:F,0,FALSE)</f>
        <v>330</v>
      </c>
      <c r="D61" s="574">
        <f>_xlfn.XLOOKUP($B61,'[1]Blade-Export_15-08-2022_sources'!$B:$B,'[1]Blade-Export_15-08-2022_sources'!G:G,0,FALSE)</f>
        <v>3010</v>
      </c>
      <c r="E61" s="574" t="str">
        <f>_xlfn.XLOOKUP($B61,'[1]Blade-Export_15-08-2022_sources'!$B:$B,'[1]Blade-Export_15-08-2022_sources'!H:H,0,FALSE)</f>
        <v xml:space="preserve">ST JAMES CE JI </v>
      </c>
      <c r="F61" s="578">
        <v>389640.64</v>
      </c>
      <c r="G61" s="578">
        <v>0</v>
      </c>
      <c r="H61" s="578">
        <v>17699.95</v>
      </c>
      <c r="I61" s="578">
        <v>2070153.96</v>
      </c>
      <c r="J61" s="578">
        <v>0</v>
      </c>
      <c r="K61" s="578">
        <v>24113.11</v>
      </c>
      <c r="L61" s="578">
        <v>0</v>
      </c>
      <c r="M61" s="578">
        <v>223597.5</v>
      </c>
      <c r="N61" s="578">
        <v>5315.63</v>
      </c>
      <c r="O61" s="578">
        <v>0</v>
      </c>
      <c r="P61" s="578">
        <v>0</v>
      </c>
      <c r="Q61" s="578">
        <v>421.81</v>
      </c>
      <c r="R61" s="578">
        <v>0</v>
      </c>
      <c r="S61" s="578">
        <v>0</v>
      </c>
      <c r="T61" s="578">
        <v>0</v>
      </c>
      <c r="U61" s="578">
        <v>1990</v>
      </c>
      <c r="V61" s="578">
        <v>0</v>
      </c>
      <c r="W61" s="578"/>
      <c r="X61" s="578">
        <v>0</v>
      </c>
      <c r="Y61" s="578">
        <v>0</v>
      </c>
      <c r="Z61" s="578">
        <v>0</v>
      </c>
      <c r="AA61" s="578">
        <v>0</v>
      </c>
      <c r="AB61" s="578">
        <v>17314.63</v>
      </c>
      <c r="AC61" s="578">
        <v>13880</v>
      </c>
      <c r="AD61" s="578">
        <v>68068</v>
      </c>
      <c r="AE61" s="578">
        <v>1041093</v>
      </c>
      <c r="AF61" s="578">
        <v>0</v>
      </c>
      <c r="AG61" s="578">
        <v>475411.8</v>
      </c>
      <c r="AH61" s="578">
        <v>0</v>
      </c>
      <c r="AI61" s="578">
        <v>176312.38</v>
      </c>
      <c r="AJ61" s="578">
        <v>0</v>
      </c>
      <c r="AK61" s="578">
        <v>60573.22</v>
      </c>
      <c r="AL61" s="578">
        <v>5563.7</v>
      </c>
      <c r="AM61" s="578">
        <v>9326.0300000000007</v>
      </c>
      <c r="AN61" s="578">
        <v>0</v>
      </c>
      <c r="AO61" s="578">
        <v>0</v>
      </c>
      <c r="AP61" s="578">
        <v>56953.67</v>
      </c>
      <c r="AQ61" s="578">
        <v>0</v>
      </c>
      <c r="AR61" s="578">
        <v>26.5</v>
      </c>
      <c r="AS61" s="578">
        <v>6730.78</v>
      </c>
      <c r="AT61" s="578">
        <v>39756.339999999997</v>
      </c>
      <c r="AU61" s="578">
        <v>47854.080000000002</v>
      </c>
      <c r="AV61" s="578">
        <v>4383.13</v>
      </c>
      <c r="AW61" s="578">
        <v>70292.75</v>
      </c>
      <c r="AX61" s="578">
        <v>44571.86</v>
      </c>
      <c r="AY61" s="578">
        <v>0</v>
      </c>
      <c r="AZ61" s="578">
        <v>128091.49</v>
      </c>
      <c r="BA61" s="578">
        <v>9599.83</v>
      </c>
      <c r="BB61" s="578">
        <v>0</v>
      </c>
      <c r="BC61" s="578">
        <v>140726.65</v>
      </c>
      <c r="BD61" s="578">
        <v>62432.49</v>
      </c>
      <c r="BE61" s="578">
        <v>49999.83</v>
      </c>
      <c r="BF61" s="578">
        <v>81206.679999999993</v>
      </c>
      <c r="BG61" s="578">
        <v>0</v>
      </c>
      <c r="BH61" s="578">
        <v>0</v>
      </c>
      <c r="BI61" s="578">
        <v>1871.22</v>
      </c>
      <c r="BJ61" s="578">
        <v>0</v>
      </c>
      <c r="BK61" s="578">
        <v>0</v>
      </c>
      <c r="BL61" s="578">
        <v>8725</v>
      </c>
      <c r="BM61" s="578">
        <v>0</v>
      </c>
      <c r="BN61" s="578">
        <v>0</v>
      </c>
      <c r="BO61" s="578">
        <v>10000</v>
      </c>
      <c r="BP61" s="578">
        <v>0</v>
      </c>
      <c r="BQ61" s="578">
        <v>11198.97</v>
      </c>
      <c r="BR61" s="578">
        <v>0</v>
      </c>
      <c r="BS61" s="578">
        <v>0</v>
      </c>
      <c r="BT61" s="578">
        <v>0</v>
      </c>
      <c r="BU61" s="578">
        <v>301717.84999999998</v>
      </c>
      <c r="BV61" s="578">
        <v>15225.98</v>
      </c>
      <c r="BW61" s="578">
        <v>0</v>
      </c>
      <c r="BX61" s="578">
        <v>0</v>
      </c>
      <c r="BY61" s="578">
        <v>0</v>
      </c>
      <c r="BZ61" s="578">
        <v>2424854.64</v>
      </c>
      <c r="CA61" s="578">
        <v>2512777.4300000002</v>
      </c>
      <c r="CB61" s="578">
        <v>8725</v>
      </c>
      <c r="CC61" s="578">
        <v>11198.97</v>
      </c>
      <c r="CD61" s="578">
        <v>316943.83</v>
      </c>
    </row>
    <row r="62" spans="1:82" hidden="1" x14ac:dyDescent="0.3">
      <c r="A62" s="574" t="s">
        <v>1647</v>
      </c>
      <c r="B62" s="577">
        <v>3303367</v>
      </c>
      <c r="C62" s="574">
        <f>_xlfn.XLOOKUP(B62,'[1]Blade-Export_15-08-2022_sources'!B:B,'[1]Blade-Export_15-08-2022_sources'!F:F,0,FALSE)</f>
        <v>330</v>
      </c>
      <c r="D62" s="574">
        <f>_xlfn.XLOOKUP($B62,'[1]Blade-Export_15-08-2022_sources'!$B:$B,'[1]Blade-Export_15-08-2022_sources'!G:G,0,FALSE)</f>
        <v>3367</v>
      </c>
      <c r="E62" s="574" t="str">
        <f>_xlfn.XLOOKUP($B62,'[1]Blade-Export_15-08-2022_sources'!$B:$B,'[1]Blade-Export_15-08-2022_sources'!H:H,0,FALSE)</f>
        <v>ST GERARD'S RC JI NC</v>
      </c>
      <c r="F62" s="578">
        <v>331734.96000000002</v>
      </c>
      <c r="G62" s="578">
        <v>0</v>
      </c>
      <c r="H62" s="578">
        <v>0</v>
      </c>
      <c r="I62" s="578">
        <v>1165107.3999999999</v>
      </c>
      <c r="J62" s="578">
        <v>0</v>
      </c>
      <c r="K62" s="578">
        <v>2581.67</v>
      </c>
      <c r="L62" s="578">
        <v>0</v>
      </c>
      <c r="M62" s="578">
        <v>100840</v>
      </c>
      <c r="N62" s="578">
        <v>2244.38</v>
      </c>
      <c r="O62" s="578">
        <v>0</v>
      </c>
      <c r="P62" s="578">
        <v>30441.88</v>
      </c>
      <c r="Q62" s="578">
        <v>240.01</v>
      </c>
      <c r="R62" s="578">
        <v>0</v>
      </c>
      <c r="S62" s="578">
        <v>0</v>
      </c>
      <c r="T62" s="578">
        <v>0</v>
      </c>
      <c r="U62" s="578">
        <v>1076</v>
      </c>
      <c r="V62" s="578">
        <v>0</v>
      </c>
      <c r="W62" s="578"/>
      <c r="X62" s="578">
        <v>0</v>
      </c>
      <c r="Y62" s="578">
        <v>0</v>
      </c>
      <c r="Z62" s="578">
        <v>0</v>
      </c>
      <c r="AA62" s="578">
        <v>0</v>
      </c>
      <c r="AB62" s="578">
        <v>7464.38</v>
      </c>
      <c r="AC62" s="578">
        <v>7000</v>
      </c>
      <c r="AD62" s="578">
        <v>44277</v>
      </c>
      <c r="AE62" s="578">
        <v>552108.16</v>
      </c>
      <c r="AF62" s="578">
        <v>0</v>
      </c>
      <c r="AG62" s="578">
        <v>199486.81</v>
      </c>
      <c r="AH62" s="578">
        <v>0</v>
      </c>
      <c r="AI62" s="578">
        <v>137622.39999999999</v>
      </c>
      <c r="AJ62" s="578">
        <v>0</v>
      </c>
      <c r="AK62" s="578">
        <v>30709.54</v>
      </c>
      <c r="AL62" s="578">
        <v>712.9</v>
      </c>
      <c r="AM62" s="578">
        <v>4834</v>
      </c>
      <c r="AN62" s="578">
        <v>0</v>
      </c>
      <c r="AO62" s="578">
        <v>0</v>
      </c>
      <c r="AP62" s="578">
        <v>236515.18</v>
      </c>
      <c r="AQ62" s="578">
        <v>1566</v>
      </c>
      <c r="AR62" s="578">
        <v>1185.54</v>
      </c>
      <c r="AS62" s="578">
        <v>5294.51</v>
      </c>
      <c r="AT62" s="578">
        <v>10667.95</v>
      </c>
      <c r="AU62" s="578">
        <v>3627.65</v>
      </c>
      <c r="AV62" s="578">
        <v>4866.13</v>
      </c>
      <c r="AW62" s="578">
        <v>82253.27</v>
      </c>
      <c r="AX62" s="578">
        <v>15534.5</v>
      </c>
      <c r="AY62" s="578">
        <v>0</v>
      </c>
      <c r="AZ62" s="578">
        <v>16769.12</v>
      </c>
      <c r="BA62" s="578">
        <v>10480.56</v>
      </c>
      <c r="BB62" s="578">
        <v>0</v>
      </c>
      <c r="BC62" s="578">
        <v>70668.28</v>
      </c>
      <c r="BD62" s="578">
        <v>66460.95</v>
      </c>
      <c r="BE62" s="578">
        <v>3048.22</v>
      </c>
      <c r="BF62" s="578">
        <v>66923.64</v>
      </c>
      <c r="BG62" s="578">
        <v>0</v>
      </c>
      <c r="BH62" s="578">
        <v>0</v>
      </c>
      <c r="BI62" s="578">
        <v>0</v>
      </c>
      <c r="BJ62" s="578">
        <v>0</v>
      </c>
      <c r="BK62" s="578">
        <v>0</v>
      </c>
      <c r="BL62" s="578">
        <v>0</v>
      </c>
      <c r="BM62" s="578">
        <v>0</v>
      </c>
      <c r="BN62" s="578">
        <v>0</v>
      </c>
      <c r="BO62" s="578">
        <v>10000</v>
      </c>
      <c r="BP62" s="578">
        <v>0</v>
      </c>
      <c r="BQ62" s="578">
        <v>0</v>
      </c>
      <c r="BR62" s="578">
        <v>0</v>
      </c>
      <c r="BS62" s="578">
        <v>0</v>
      </c>
      <c r="BT62" s="578">
        <v>0</v>
      </c>
      <c r="BU62" s="578">
        <v>171672.35</v>
      </c>
      <c r="BV62" s="578">
        <v>0</v>
      </c>
      <c r="BW62" s="578">
        <v>0</v>
      </c>
      <c r="BX62" s="578">
        <v>0</v>
      </c>
      <c r="BY62" s="578">
        <v>0</v>
      </c>
      <c r="BZ62" s="578">
        <v>1361272.72</v>
      </c>
      <c r="CA62" s="578">
        <v>1521335.31</v>
      </c>
      <c r="CB62" s="578">
        <v>0</v>
      </c>
      <c r="CC62" s="578">
        <v>0</v>
      </c>
      <c r="CD62" s="578">
        <v>171672.35</v>
      </c>
    </row>
    <row r="63" spans="1:82" hidden="1" x14ac:dyDescent="0.3">
      <c r="A63" s="574" t="s">
        <v>1648</v>
      </c>
      <c r="B63" s="577">
        <v>3303342</v>
      </c>
      <c r="C63" s="574">
        <f>_xlfn.XLOOKUP(B63,'[1]Blade-Export_15-08-2022_sources'!B:B,'[1]Blade-Export_15-08-2022_sources'!F:F,0,FALSE)</f>
        <v>330</v>
      </c>
      <c r="D63" s="574">
        <f>_xlfn.XLOOKUP($B63,'[1]Blade-Export_15-08-2022_sources'!$B:$B,'[1]Blade-Export_15-08-2022_sources'!G:G,0,FALSE)</f>
        <v>3342</v>
      </c>
      <c r="E63" s="574" t="str">
        <f>_xlfn.XLOOKUP($B63,'[1]Blade-Export_15-08-2022_sources'!$B:$B,'[1]Blade-Export_15-08-2022_sources'!H:H,0,FALSE)</f>
        <v xml:space="preserve">ST FRANCIS RC JI </v>
      </c>
      <c r="F63" s="578">
        <v>313265.58</v>
      </c>
      <c r="G63" s="578">
        <v>0</v>
      </c>
      <c r="H63" s="578">
        <v>0</v>
      </c>
      <c r="I63" s="578">
        <v>2068673.93</v>
      </c>
      <c r="J63" s="578">
        <v>0</v>
      </c>
      <c r="K63" s="578">
        <v>43321.82</v>
      </c>
      <c r="L63" s="578">
        <v>0</v>
      </c>
      <c r="M63" s="578">
        <v>336250</v>
      </c>
      <c r="N63" s="578">
        <v>7619.06</v>
      </c>
      <c r="O63" s="578">
        <v>0</v>
      </c>
      <c r="P63" s="578">
        <v>56812.14</v>
      </c>
      <c r="Q63" s="578">
        <v>438.57</v>
      </c>
      <c r="R63" s="578">
        <v>0</v>
      </c>
      <c r="S63" s="578">
        <v>0</v>
      </c>
      <c r="T63" s="578">
        <v>0</v>
      </c>
      <c r="U63" s="578">
        <v>3708</v>
      </c>
      <c r="V63" s="578">
        <v>0</v>
      </c>
      <c r="W63" s="578"/>
      <c r="X63" s="578">
        <v>0</v>
      </c>
      <c r="Y63" s="578">
        <v>0</v>
      </c>
      <c r="Z63" s="578">
        <v>0</v>
      </c>
      <c r="AA63" s="578">
        <v>0</v>
      </c>
      <c r="AB63" s="578">
        <v>25744.06</v>
      </c>
      <c r="AC63" s="578">
        <v>13600</v>
      </c>
      <c r="AD63" s="578">
        <v>45004</v>
      </c>
      <c r="AE63" s="578">
        <v>1037014.39</v>
      </c>
      <c r="AF63" s="578">
        <v>0</v>
      </c>
      <c r="AG63" s="578">
        <v>450427.65</v>
      </c>
      <c r="AH63" s="578">
        <v>40203.279999999999</v>
      </c>
      <c r="AI63" s="578">
        <v>295174.39</v>
      </c>
      <c r="AJ63" s="578">
        <v>0</v>
      </c>
      <c r="AK63" s="578">
        <v>40200.75</v>
      </c>
      <c r="AL63" s="578">
        <v>1025.2</v>
      </c>
      <c r="AM63" s="578">
        <v>4548</v>
      </c>
      <c r="AN63" s="578">
        <v>0</v>
      </c>
      <c r="AO63" s="578">
        <v>0</v>
      </c>
      <c r="AP63" s="578">
        <v>32863.14</v>
      </c>
      <c r="AQ63" s="578">
        <v>26.68</v>
      </c>
      <c r="AR63" s="578">
        <v>63106.79</v>
      </c>
      <c r="AS63" s="578">
        <v>5257.01</v>
      </c>
      <c r="AT63" s="578">
        <v>21738.080000000002</v>
      </c>
      <c r="AU63" s="578">
        <v>5094.1400000000003</v>
      </c>
      <c r="AV63" s="578">
        <v>13109.75</v>
      </c>
      <c r="AW63" s="578">
        <v>97967.39</v>
      </c>
      <c r="AX63" s="578">
        <v>23979.37</v>
      </c>
      <c r="AY63" s="578">
        <v>0</v>
      </c>
      <c r="AZ63" s="578">
        <v>30267.98</v>
      </c>
      <c r="BA63" s="578">
        <v>9550.43</v>
      </c>
      <c r="BB63" s="578">
        <v>0</v>
      </c>
      <c r="BC63" s="578">
        <v>130587.06</v>
      </c>
      <c r="BD63" s="578">
        <v>144410.69</v>
      </c>
      <c r="BE63" s="578">
        <v>5177.3500000000004</v>
      </c>
      <c r="BF63" s="578">
        <v>99031.47</v>
      </c>
      <c r="BG63" s="578">
        <v>0</v>
      </c>
      <c r="BH63" s="578">
        <v>0</v>
      </c>
      <c r="BI63" s="578">
        <v>21590.36</v>
      </c>
      <c r="BJ63" s="578">
        <v>0</v>
      </c>
      <c r="BK63" s="578">
        <v>0</v>
      </c>
      <c r="BL63" s="578">
        <v>0</v>
      </c>
      <c r="BM63" s="578">
        <v>0</v>
      </c>
      <c r="BN63" s="578">
        <v>0</v>
      </c>
      <c r="BO63" s="578">
        <v>10000</v>
      </c>
      <c r="BP63" s="578">
        <v>0</v>
      </c>
      <c r="BQ63" s="578">
        <v>0</v>
      </c>
      <c r="BR63" s="578">
        <v>0</v>
      </c>
      <c r="BS63" s="578">
        <v>0</v>
      </c>
      <c r="BT63" s="578">
        <v>0</v>
      </c>
      <c r="BU63" s="578">
        <v>342085.82</v>
      </c>
      <c r="BV63" s="578">
        <v>0</v>
      </c>
      <c r="BW63" s="578">
        <v>0</v>
      </c>
      <c r="BX63" s="578">
        <v>0</v>
      </c>
      <c r="BY63" s="578">
        <v>0</v>
      </c>
      <c r="BZ63" s="578">
        <v>2601171.58</v>
      </c>
      <c r="CA63" s="578">
        <v>2572351.35</v>
      </c>
      <c r="CB63" s="578">
        <v>0</v>
      </c>
      <c r="CC63" s="578">
        <v>0</v>
      </c>
      <c r="CD63" s="578">
        <v>342085.82</v>
      </c>
    </row>
    <row r="64" spans="1:82" hidden="1" x14ac:dyDescent="0.3">
      <c r="A64" s="574" t="s">
        <v>1649</v>
      </c>
      <c r="B64" s="577">
        <v>3303355</v>
      </c>
      <c r="C64" s="574">
        <f>_xlfn.XLOOKUP(B64,'[1]Blade-Export_15-08-2022_sources'!B:B,'[1]Blade-Export_15-08-2022_sources'!F:F,0,FALSE)</f>
        <v>330</v>
      </c>
      <c r="D64" s="574">
        <f>_xlfn.XLOOKUP($B64,'[1]Blade-Export_15-08-2022_sources'!$B:$B,'[1]Blade-Export_15-08-2022_sources'!G:G,0,FALSE)</f>
        <v>3355</v>
      </c>
      <c r="E64" s="574" t="str">
        <f>_xlfn.XLOOKUP($B64,'[1]Blade-Export_15-08-2022_sources'!$B:$B,'[1]Blade-Export_15-08-2022_sources'!H:H,0,FALSE)</f>
        <v xml:space="preserve">ST EDWARD'S RC JI </v>
      </c>
      <c r="F64" s="578">
        <v>59150.68</v>
      </c>
      <c r="G64" s="578">
        <v>0</v>
      </c>
      <c r="H64" s="578">
        <v>0</v>
      </c>
      <c r="I64" s="578">
        <v>1725351.41</v>
      </c>
      <c r="J64" s="578">
        <v>0</v>
      </c>
      <c r="K64" s="578">
        <v>54774.45</v>
      </c>
      <c r="L64" s="578">
        <v>0</v>
      </c>
      <c r="M64" s="578">
        <v>145570</v>
      </c>
      <c r="N64" s="578">
        <v>3602.81</v>
      </c>
      <c r="O64" s="578">
        <v>0</v>
      </c>
      <c r="P64" s="578">
        <v>82133.100000000006</v>
      </c>
      <c r="Q64" s="578">
        <v>82.81</v>
      </c>
      <c r="R64" s="578">
        <v>0</v>
      </c>
      <c r="S64" s="578">
        <v>0</v>
      </c>
      <c r="T64" s="578">
        <v>0</v>
      </c>
      <c r="U64" s="578">
        <v>30928.22</v>
      </c>
      <c r="V64" s="578">
        <v>0</v>
      </c>
      <c r="W64" s="578"/>
      <c r="X64" s="578">
        <v>0</v>
      </c>
      <c r="Y64" s="578">
        <v>0</v>
      </c>
      <c r="Z64" s="578">
        <v>0</v>
      </c>
      <c r="AA64" s="578">
        <v>0</v>
      </c>
      <c r="AB64" s="578">
        <v>11287.81</v>
      </c>
      <c r="AC64" s="578">
        <v>13300</v>
      </c>
      <c r="AD64" s="578">
        <v>75837</v>
      </c>
      <c r="AE64" s="578">
        <v>974999.22</v>
      </c>
      <c r="AF64" s="578">
        <v>0</v>
      </c>
      <c r="AG64" s="578">
        <v>239377.24</v>
      </c>
      <c r="AH64" s="578">
        <v>50394.16</v>
      </c>
      <c r="AI64" s="578">
        <v>186776.66</v>
      </c>
      <c r="AJ64" s="578">
        <v>0</v>
      </c>
      <c r="AK64" s="578">
        <v>29736.58</v>
      </c>
      <c r="AL64" s="578">
        <v>877.6</v>
      </c>
      <c r="AM64" s="578">
        <v>5823.66</v>
      </c>
      <c r="AN64" s="578">
        <v>0</v>
      </c>
      <c r="AO64" s="578">
        <v>0</v>
      </c>
      <c r="AP64" s="578">
        <v>11578.71</v>
      </c>
      <c r="AQ64" s="578">
        <v>2846.06</v>
      </c>
      <c r="AR64" s="578">
        <v>43958.34</v>
      </c>
      <c r="AS64" s="578">
        <v>6015.37</v>
      </c>
      <c r="AT64" s="578">
        <v>28066.81</v>
      </c>
      <c r="AU64" s="578">
        <v>10891.44</v>
      </c>
      <c r="AV64" s="578">
        <v>6164.13</v>
      </c>
      <c r="AW64" s="578">
        <v>29911.42</v>
      </c>
      <c r="AX64" s="578">
        <v>4484.26</v>
      </c>
      <c r="AY64" s="578">
        <v>0</v>
      </c>
      <c r="AZ64" s="578">
        <v>73122.009999999995</v>
      </c>
      <c r="BA64" s="578">
        <v>8200</v>
      </c>
      <c r="BB64" s="578">
        <v>0</v>
      </c>
      <c r="BC64" s="578">
        <v>118616.3</v>
      </c>
      <c r="BD64" s="578">
        <v>52542.239999999998</v>
      </c>
      <c r="BE64" s="578">
        <v>775.4</v>
      </c>
      <c r="BF64" s="578">
        <v>156010.17000000001</v>
      </c>
      <c r="BG64" s="578">
        <v>0</v>
      </c>
      <c r="BH64" s="578">
        <v>0</v>
      </c>
      <c r="BI64" s="578">
        <v>1840</v>
      </c>
      <c r="BJ64" s="578">
        <v>0</v>
      </c>
      <c r="BK64" s="578">
        <v>0</v>
      </c>
      <c r="BL64" s="578">
        <v>0</v>
      </c>
      <c r="BM64" s="578">
        <v>0</v>
      </c>
      <c r="BN64" s="578">
        <v>0</v>
      </c>
      <c r="BO64" s="578">
        <v>10000</v>
      </c>
      <c r="BP64" s="578">
        <v>0</v>
      </c>
      <c r="BQ64" s="578">
        <v>0</v>
      </c>
      <c r="BR64" s="578">
        <v>0</v>
      </c>
      <c r="BS64" s="578">
        <v>0</v>
      </c>
      <c r="BT64" s="578">
        <v>0</v>
      </c>
      <c r="BU64" s="578">
        <v>159010.51999999999</v>
      </c>
      <c r="BV64" s="578">
        <v>0</v>
      </c>
      <c r="BW64" s="578">
        <v>0</v>
      </c>
      <c r="BX64" s="578">
        <v>0</v>
      </c>
      <c r="BY64" s="578">
        <v>0</v>
      </c>
      <c r="BZ64" s="578">
        <v>2142867.61</v>
      </c>
      <c r="CA64" s="578">
        <v>2043007.78</v>
      </c>
      <c r="CB64" s="578">
        <v>0</v>
      </c>
      <c r="CC64" s="578">
        <v>0</v>
      </c>
      <c r="CD64" s="578">
        <v>159010.51999999999</v>
      </c>
    </row>
    <row r="65" spans="1:82" hidden="1" x14ac:dyDescent="0.3">
      <c r="A65" s="574" t="s">
        <v>1650</v>
      </c>
      <c r="B65" s="577">
        <v>3303347</v>
      </c>
      <c r="C65" s="574">
        <f>_xlfn.XLOOKUP(B65,'[1]Blade-Export_15-08-2022_sources'!B:B,'[1]Blade-Export_15-08-2022_sources'!F:F,0,FALSE)</f>
        <v>330</v>
      </c>
      <c r="D65" s="574">
        <f>_xlfn.XLOOKUP($B65,'[1]Blade-Export_15-08-2022_sources'!$B:$B,'[1]Blade-Export_15-08-2022_sources'!G:G,0,FALSE)</f>
        <v>3347</v>
      </c>
      <c r="E65" s="574" t="str">
        <f>_xlfn.XLOOKUP($B65,'[1]Blade-Export_15-08-2022_sources'!$B:$B,'[1]Blade-Export_15-08-2022_sources'!H:H,0,FALSE)</f>
        <v>ST EDMUND'S RC JI NC</v>
      </c>
      <c r="F65" s="578">
        <v>32610.61</v>
      </c>
      <c r="G65" s="578">
        <v>0</v>
      </c>
      <c r="H65" s="578">
        <v>0</v>
      </c>
      <c r="I65" s="578">
        <v>1134480.3899999999</v>
      </c>
      <c r="J65" s="578">
        <v>0</v>
      </c>
      <c r="K65" s="578">
        <v>22108.32</v>
      </c>
      <c r="L65" s="578">
        <v>0</v>
      </c>
      <c r="M65" s="578">
        <v>191317.5</v>
      </c>
      <c r="N65" s="578">
        <v>4488.75</v>
      </c>
      <c r="O65" s="578">
        <v>0</v>
      </c>
      <c r="P65" s="578">
        <v>12501.03</v>
      </c>
      <c r="Q65" s="578">
        <v>45.65</v>
      </c>
      <c r="R65" s="578">
        <v>4869.07</v>
      </c>
      <c r="S65" s="578">
        <v>0</v>
      </c>
      <c r="T65" s="578">
        <v>0</v>
      </c>
      <c r="U65" s="578">
        <v>4528.3900000000003</v>
      </c>
      <c r="V65" s="578">
        <v>0</v>
      </c>
      <c r="W65" s="578"/>
      <c r="X65" s="578">
        <v>0</v>
      </c>
      <c r="Y65" s="578">
        <v>0</v>
      </c>
      <c r="Z65" s="578">
        <v>0</v>
      </c>
      <c r="AA65" s="578">
        <v>0</v>
      </c>
      <c r="AB65" s="578">
        <v>14865.88</v>
      </c>
      <c r="AC65" s="578">
        <v>6380</v>
      </c>
      <c r="AD65" s="578">
        <v>26863</v>
      </c>
      <c r="AE65" s="578">
        <v>523586.18</v>
      </c>
      <c r="AF65" s="578">
        <v>0</v>
      </c>
      <c r="AG65" s="578">
        <v>285644.34999999998</v>
      </c>
      <c r="AH65" s="578">
        <v>35779.910000000003</v>
      </c>
      <c r="AI65" s="578">
        <v>102730.61</v>
      </c>
      <c r="AJ65" s="578">
        <v>0</v>
      </c>
      <c r="AK65" s="578">
        <v>51283.97</v>
      </c>
      <c r="AL65" s="578">
        <v>739.91</v>
      </c>
      <c r="AM65" s="578">
        <v>1730</v>
      </c>
      <c r="AN65" s="578">
        <v>0</v>
      </c>
      <c r="AO65" s="578">
        <v>0</v>
      </c>
      <c r="AP65" s="578">
        <v>10663.06</v>
      </c>
      <c r="AQ65" s="578">
        <v>1178.46</v>
      </c>
      <c r="AR65" s="578">
        <v>31916.59</v>
      </c>
      <c r="AS65" s="578">
        <v>5821.41</v>
      </c>
      <c r="AT65" s="578">
        <v>13756.51</v>
      </c>
      <c r="AU65" s="578">
        <v>3576.19</v>
      </c>
      <c r="AV65" s="578">
        <v>6624.41</v>
      </c>
      <c r="AW65" s="578">
        <v>61912.91</v>
      </c>
      <c r="AX65" s="578">
        <v>5614.67</v>
      </c>
      <c r="AY65" s="578">
        <v>0</v>
      </c>
      <c r="AZ65" s="578">
        <v>5680.53</v>
      </c>
      <c r="BA65" s="578">
        <v>5100</v>
      </c>
      <c r="BB65" s="578">
        <v>0</v>
      </c>
      <c r="BC65" s="578">
        <v>70220.600000000006</v>
      </c>
      <c r="BD65" s="578">
        <v>29376.34</v>
      </c>
      <c r="BE65" s="578">
        <v>178.68</v>
      </c>
      <c r="BF65" s="578">
        <v>118939.33</v>
      </c>
      <c r="BG65" s="578">
        <v>0</v>
      </c>
      <c r="BH65" s="578">
        <v>0</v>
      </c>
      <c r="BI65" s="578">
        <v>0</v>
      </c>
      <c r="BJ65" s="578">
        <v>0</v>
      </c>
      <c r="BK65" s="578">
        <v>0</v>
      </c>
      <c r="BL65" s="578">
        <v>0</v>
      </c>
      <c r="BM65" s="578">
        <v>0</v>
      </c>
      <c r="BN65" s="578">
        <v>0</v>
      </c>
      <c r="BO65" s="578">
        <v>10000</v>
      </c>
      <c r="BP65" s="578">
        <v>0</v>
      </c>
      <c r="BQ65" s="578">
        <v>0</v>
      </c>
      <c r="BR65" s="578">
        <v>0</v>
      </c>
      <c r="BS65" s="578">
        <v>0</v>
      </c>
      <c r="BT65" s="578">
        <v>0</v>
      </c>
      <c r="BU65" s="578">
        <v>83003.98</v>
      </c>
      <c r="BV65" s="578">
        <v>0</v>
      </c>
      <c r="BW65" s="578">
        <v>0</v>
      </c>
      <c r="BX65" s="578">
        <v>0</v>
      </c>
      <c r="BY65" s="578">
        <v>0</v>
      </c>
      <c r="BZ65" s="578">
        <v>1422447.98</v>
      </c>
      <c r="CA65" s="578">
        <v>1372054.62</v>
      </c>
      <c r="CB65" s="578">
        <v>0</v>
      </c>
      <c r="CC65" s="578">
        <v>0</v>
      </c>
      <c r="CD65" s="578">
        <v>83003.98</v>
      </c>
    </row>
    <row r="66" spans="1:82" hidden="1" x14ac:dyDescent="0.3">
      <c r="A66" s="574" t="s">
        <v>1651</v>
      </c>
      <c r="B66" s="577">
        <v>3303363</v>
      </c>
      <c r="C66" s="574">
        <f>_xlfn.XLOOKUP(B66,'[1]Blade-Export_15-08-2022_sources'!B:B,'[1]Blade-Export_15-08-2022_sources'!F:F,0,FALSE)</f>
        <v>330</v>
      </c>
      <c r="D66" s="574">
        <f>_xlfn.XLOOKUP($B66,'[1]Blade-Export_15-08-2022_sources'!$B:$B,'[1]Blade-Export_15-08-2022_sources'!G:G,0,FALSE)</f>
        <v>3363</v>
      </c>
      <c r="E66" s="574" t="str">
        <f>_xlfn.XLOOKUP($B66,'[1]Blade-Export_15-08-2022_sources'!$B:$B,'[1]Blade-Export_15-08-2022_sources'!H:H,0,FALSE)</f>
        <v>ST DUNSTAN'S RC JI NC</v>
      </c>
      <c r="F66" s="578">
        <v>388185.4</v>
      </c>
      <c r="G66" s="578">
        <v>0</v>
      </c>
      <c r="H66" s="578">
        <v>0</v>
      </c>
      <c r="I66" s="578">
        <v>1697663.38</v>
      </c>
      <c r="J66" s="578">
        <v>0</v>
      </c>
      <c r="K66" s="578">
        <v>17317.009999999998</v>
      </c>
      <c r="L66" s="578">
        <v>0</v>
      </c>
      <c r="M66" s="578">
        <v>163365</v>
      </c>
      <c r="N66" s="578">
        <v>3898.13</v>
      </c>
      <c r="O66" s="578">
        <v>0</v>
      </c>
      <c r="P66" s="578">
        <v>28645.81</v>
      </c>
      <c r="Q66" s="578">
        <v>0</v>
      </c>
      <c r="R66" s="578">
        <v>0</v>
      </c>
      <c r="S66" s="578">
        <v>0</v>
      </c>
      <c r="T66" s="578">
        <v>0</v>
      </c>
      <c r="U66" s="578">
        <v>28817.27</v>
      </c>
      <c r="V66" s="578">
        <v>0</v>
      </c>
      <c r="W66" s="578"/>
      <c r="X66" s="578">
        <v>0</v>
      </c>
      <c r="Y66" s="578">
        <v>0</v>
      </c>
      <c r="Z66" s="578">
        <v>0</v>
      </c>
      <c r="AA66" s="578">
        <v>0</v>
      </c>
      <c r="AB66" s="578">
        <v>12670.63</v>
      </c>
      <c r="AC66" s="578">
        <v>12500</v>
      </c>
      <c r="AD66" s="578">
        <v>58541</v>
      </c>
      <c r="AE66" s="578">
        <v>1001171.33</v>
      </c>
      <c r="AF66" s="578">
        <v>0</v>
      </c>
      <c r="AG66" s="578">
        <v>370099.19</v>
      </c>
      <c r="AH66" s="578">
        <v>40054.99</v>
      </c>
      <c r="AI66" s="578">
        <v>191779.02</v>
      </c>
      <c r="AJ66" s="578">
        <v>0</v>
      </c>
      <c r="AK66" s="578">
        <v>74596.08</v>
      </c>
      <c r="AL66" s="578">
        <v>3275.94</v>
      </c>
      <c r="AM66" s="578">
        <v>9792.44</v>
      </c>
      <c r="AN66" s="578">
        <v>0</v>
      </c>
      <c r="AO66" s="578">
        <v>0</v>
      </c>
      <c r="AP66" s="578">
        <v>44092.88</v>
      </c>
      <c r="AQ66" s="578">
        <v>4600</v>
      </c>
      <c r="AR66" s="578">
        <v>31744</v>
      </c>
      <c r="AS66" s="578">
        <v>4657.3</v>
      </c>
      <c r="AT66" s="578">
        <v>28427.15</v>
      </c>
      <c r="AU66" s="578">
        <v>6740.74</v>
      </c>
      <c r="AV66" s="578">
        <v>9451.1299999999992</v>
      </c>
      <c r="AW66" s="578">
        <v>46991.14</v>
      </c>
      <c r="AX66" s="578">
        <v>12602.39</v>
      </c>
      <c r="AY66" s="578">
        <v>0</v>
      </c>
      <c r="AZ66" s="578">
        <v>33471.43</v>
      </c>
      <c r="BA66" s="578">
        <v>8200</v>
      </c>
      <c r="BB66" s="578">
        <v>0</v>
      </c>
      <c r="BC66" s="578">
        <v>119460.92</v>
      </c>
      <c r="BD66" s="578">
        <v>26978.28</v>
      </c>
      <c r="BE66" s="578">
        <v>14767.91</v>
      </c>
      <c r="BF66" s="578">
        <v>65906.899999999994</v>
      </c>
      <c r="BG66" s="578">
        <v>0</v>
      </c>
      <c r="BH66" s="578">
        <v>231.65</v>
      </c>
      <c r="BI66" s="578">
        <v>0</v>
      </c>
      <c r="BJ66" s="578">
        <v>0</v>
      </c>
      <c r="BK66" s="578">
        <v>0</v>
      </c>
      <c r="BL66" s="578">
        <v>0</v>
      </c>
      <c r="BM66" s="578">
        <v>0</v>
      </c>
      <c r="BN66" s="578">
        <v>0</v>
      </c>
      <c r="BO66" s="578">
        <v>10000</v>
      </c>
      <c r="BP66" s="578">
        <v>0</v>
      </c>
      <c r="BQ66" s="578">
        <v>0</v>
      </c>
      <c r="BR66" s="578">
        <v>0</v>
      </c>
      <c r="BS66" s="578">
        <v>0</v>
      </c>
      <c r="BT66" s="578">
        <v>0</v>
      </c>
      <c r="BU66" s="578">
        <v>262510.81</v>
      </c>
      <c r="BV66" s="578">
        <v>0</v>
      </c>
      <c r="BW66" s="578">
        <v>0</v>
      </c>
      <c r="BX66" s="578">
        <v>0</v>
      </c>
      <c r="BY66" s="578">
        <v>0</v>
      </c>
      <c r="BZ66" s="578">
        <v>2023418.23</v>
      </c>
      <c r="CA66" s="578">
        <v>2149092.81</v>
      </c>
      <c r="CB66" s="578">
        <v>0</v>
      </c>
      <c r="CC66" s="578">
        <v>0</v>
      </c>
      <c r="CD66" s="578">
        <v>262510.81</v>
      </c>
    </row>
    <row r="67" spans="1:82" hidden="1" x14ac:dyDescent="0.3">
      <c r="A67" s="574" t="s">
        <v>1652</v>
      </c>
      <c r="B67" s="577">
        <v>3303386</v>
      </c>
      <c r="C67" s="574">
        <f>_xlfn.XLOOKUP(B67,'[1]Blade-Export_15-08-2022_sources'!B:B,'[1]Blade-Export_15-08-2022_sources'!F:F,0,FALSE)</f>
        <v>330</v>
      </c>
      <c r="D67" s="574">
        <f>_xlfn.XLOOKUP($B67,'[1]Blade-Export_15-08-2022_sources'!$B:$B,'[1]Blade-Export_15-08-2022_sources'!G:G,0,FALSE)</f>
        <v>3386</v>
      </c>
      <c r="E67" s="574" t="str">
        <f>_xlfn.XLOOKUP($B67,'[1]Blade-Export_15-08-2022_sources'!$B:$B,'[1]Blade-Export_15-08-2022_sources'!H:H,0,FALSE)</f>
        <v>ST CUTHBERTS RC JI NC</v>
      </c>
      <c r="F67" s="578">
        <v>168543.28</v>
      </c>
      <c r="G67" s="578">
        <v>0</v>
      </c>
      <c r="H67" s="578">
        <v>0</v>
      </c>
      <c r="I67" s="578">
        <v>1181529.75</v>
      </c>
      <c r="J67" s="578">
        <v>0</v>
      </c>
      <c r="K67" s="578">
        <v>52483.16</v>
      </c>
      <c r="L67" s="578">
        <v>0</v>
      </c>
      <c r="M67" s="578">
        <v>111635</v>
      </c>
      <c r="N67" s="578">
        <v>2598.75</v>
      </c>
      <c r="O67" s="578">
        <v>0</v>
      </c>
      <c r="P67" s="578">
        <v>19681.349999999999</v>
      </c>
      <c r="Q67" s="578">
        <v>184.52</v>
      </c>
      <c r="R67" s="578">
        <v>461.52</v>
      </c>
      <c r="S67" s="578">
        <v>0</v>
      </c>
      <c r="T67" s="578">
        <v>0</v>
      </c>
      <c r="U67" s="578">
        <v>862.92</v>
      </c>
      <c r="V67" s="578">
        <v>0</v>
      </c>
      <c r="W67" s="578"/>
      <c r="X67" s="578">
        <v>0</v>
      </c>
      <c r="Y67" s="578">
        <v>0</v>
      </c>
      <c r="Z67" s="578">
        <v>0</v>
      </c>
      <c r="AA67" s="578">
        <v>0</v>
      </c>
      <c r="AB67" s="578">
        <v>8616.25</v>
      </c>
      <c r="AC67" s="578">
        <v>7030</v>
      </c>
      <c r="AD67" s="578">
        <v>37126</v>
      </c>
      <c r="AE67" s="578">
        <v>624109.44999999995</v>
      </c>
      <c r="AF67" s="578">
        <v>2133.63</v>
      </c>
      <c r="AG67" s="578">
        <v>323063.86</v>
      </c>
      <c r="AH67" s="578">
        <v>39830.28</v>
      </c>
      <c r="AI67" s="578">
        <v>52014.5</v>
      </c>
      <c r="AJ67" s="578">
        <v>0</v>
      </c>
      <c r="AK67" s="578">
        <v>52682.15</v>
      </c>
      <c r="AL67" s="578">
        <v>1260.9000000000001</v>
      </c>
      <c r="AM67" s="578">
        <v>890</v>
      </c>
      <c r="AN67" s="578">
        <v>0</v>
      </c>
      <c r="AO67" s="578">
        <v>0</v>
      </c>
      <c r="AP67" s="578">
        <v>22472.2</v>
      </c>
      <c r="AQ67" s="578">
        <v>970.61</v>
      </c>
      <c r="AR67" s="578">
        <v>3794.29</v>
      </c>
      <c r="AS67" s="578">
        <v>4686.7299999999996</v>
      </c>
      <c r="AT67" s="578">
        <v>25501.83</v>
      </c>
      <c r="AU67" s="578">
        <v>8164.27</v>
      </c>
      <c r="AV67" s="578">
        <v>7199.88</v>
      </c>
      <c r="AW67" s="578">
        <v>41714.22</v>
      </c>
      <c r="AX67" s="578">
        <v>6628.2</v>
      </c>
      <c r="AY67" s="578">
        <v>0</v>
      </c>
      <c r="AZ67" s="578">
        <v>97041.56</v>
      </c>
      <c r="BA67" s="578">
        <v>7465.28</v>
      </c>
      <c r="BB67" s="578">
        <v>0</v>
      </c>
      <c r="BC67" s="578">
        <v>67844.740000000005</v>
      </c>
      <c r="BD67" s="578">
        <v>4854.8500000000004</v>
      </c>
      <c r="BE67" s="578">
        <v>7374.64</v>
      </c>
      <c r="BF67" s="578">
        <v>55666.07</v>
      </c>
      <c r="BG67" s="578">
        <v>0</v>
      </c>
      <c r="BH67" s="578">
        <v>0</v>
      </c>
      <c r="BI67" s="578">
        <v>1401.6</v>
      </c>
      <c r="BJ67" s="578">
        <v>0</v>
      </c>
      <c r="BK67" s="578">
        <v>0</v>
      </c>
      <c r="BL67" s="578">
        <v>0</v>
      </c>
      <c r="BM67" s="578">
        <v>0</v>
      </c>
      <c r="BN67" s="578">
        <v>0</v>
      </c>
      <c r="BO67" s="578">
        <v>10000</v>
      </c>
      <c r="BP67" s="578">
        <v>0</v>
      </c>
      <c r="BQ67" s="578">
        <v>0</v>
      </c>
      <c r="BR67" s="578">
        <v>0</v>
      </c>
      <c r="BS67" s="578">
        <v>0</v>
      </c>
      <c r="BT67" s="578">
        <v>0</v>
      </c>
      <c r="BU67" s="578">
        <v>131986.75</v>
      </c>
      <c r="BV67" s="578">
        <v>0</v>
      </c>
      <c r="BW67" s="578">
        <v>0</v>
      </c>
      <c r="BX67" s="578">
        <v>0</v>
      </c>
      <c r="BY67" s="578">
        <v>0</v>
      </c>
      <c r="BZ67" s="578">
        <v>1422209.22</v>
      </c>
      <c r="CA67" s="578">
        <v>1458765.74</v>
      </c>
      <c r="CB67" s="578">
        <v>0</v>
      </c>
      <c r="CC67" s="578">
        <v>0</v>
      </c>
      <c r="CD67" s="578">
        <v>131986.75</v>
      </c>
    </row>
    <row r="68" spans="1:82" hidden="1" x14ac:dyDescent="0.3">
      <c r="A68" s="574" t="s">
        <v>1653</v>
      </c>
      <c r="B68" s="577">
        <v>3303406</v>
      </c>
      <c r="C68" s="574">
        <f>_xlfn.XLOOKUP(B68,'[1]Blade-Export_15-08-2022_sources'!B:B,'[1]Blade-Export_15-08-2022_sources'!F:F,0,FALSE)</f>
        <v>330</v>
      </c>
      <c r="D68" s="574">
        <f>_xlfn.XLOOKUP($B68,'[1]Blade-Export_15-08-2022_sources'!$B:$B,'[1]Blade-Export_15-08-2022_sources'!G:G,0,FALSE)</f>
        <v>3406</v>
      </c>
      <c r="E68" s="574" t="str">
        <f>_xlfn.XLOOKUP($B68,'[1]Blade-Export_15-08-2022_sources'!$B:$B,'[1]Blade-Export_15-08-2022_sources'!H:H,0,FALSE)</f>
        <v>ST CLARE'S RC JI NC</v>
      </c>
      <c r="F68" s="578">
        <v>377875.15</v>
      </c>
      <c r="G68" s="578">
        <v>0</v>
      </c>
      <c r="H68" s="578">
        <v>0</v>
      </c>
      <c r="I68" s="578">
        <v>1527208.76</v>
      </c>
      <c r="J68" s="578">
        <v>0</v>
      </c>
      <c r="K68" s="578">
        <v>29401.15</v>
      </c>
      <c r="L68" s="578">
        <v>0</v>
      </c>
      <c r="M68" s="578">
        <v>196370</v>
      </c>
      <c r="N68" s="578">
        <v>4665.9399999999996</v>
      </c>
      <c r="O68" s="578">
        <v>0</v>
      </c>
      <c r="P68" s="578">
        <v>65359.199999999997</v>
      </c>
      <c r="Q68" s="578">
        <v>495.68</v>
      </c>
      <c r="R68" s="578">
        <v>0</v>
      </c>
      <c r="S68" s="578">
        <v>0</v>
      </c>
      <c r="T68" s="578">
        <v>0</v>
      </c>
      <c r="U68" s="578">
        <v>0</v>
      </c>
      <c r="V68" s="578">
        <v>0</v>
      </c>
      <c r="W68" s="578"/>
      <c r="X68" s="578">
        <v>0</v>
      </c>
      <c r="Y68" s="578">
        <v>0</v>
      </c>
      <c r="Z68" s="578">
        <v>0</v>
      </c>
      <c r="AA68" s="578">
        <v>0</v>
      </c>
      <c r="AB68" s="578">
        <v>15487.19</v>
      </c>
      <c r="AC68" s="578">
        <v>9330</v>
      </c>
      <c r="AD68" s="578">
        <v>34004.5</v>
      </c>
      <c r="AE68" s="578">
        <v>915606.37</v>
      </c>
      <c r="AF68" s="578">
        <v>30539.54</v>
      </c>
      <c r="AG68" s="578">
        <v>253288.78</v>
      </c>
      <c r="AH68" s="578">
        <v>0</v>
      </c>
      <c r="AI68" s="578">
        <v>214838.38</v>
      </c>
      <c r="AJ68" s="578">
        <v>0</v>
      </c>
      <c r="AK68" s="578">
        <v>46184.08</v>
      </c>
      <c r="AL68" s="578">
        <v>372.4</v>
      </c>
      <c r="AM68" s="578">
        <v>2799</v>
      </c>
      <c r="AN68" s="578">
        <v>0</v>
      </c>
      <c r="AO68" s="578">
        <v>0</v>
      </c>
      <c r="AP68" s="578">
        <v>34412.9</v>
      </c>
      <c r="AQ68" s="578">
        <v>4694</v>
      </c>
      <c r="AR68" s="578">
        <v>36157.67</v>
      </c>
      <c r="AS68" s="578">
        <v>5253.59</v>
      </c>
      <c r="AT68" s="578">
        <v>25342.720000000001</v>
      </c>
      <c r="AU68" s="578">
        <v>5482.38</v>
      </c>
      <c r="AV68" s="578">
        <v>6098.03</v>
      </c>
      <c r="AW68" s="578">
        <v>63877.96</v>
      </c>
      <c r="AX68" s="578">
        <v>806.4</v>
      </c>
      <c r="AY68" s="578">
        <v>0</v>
      </c>
      <c r="AZ68" s="578">
        <v>19572.38</v>
      </c>
      <c r="BA68" s="578">
        <v>9412.51</v>
      </c>
      <c r="BB68" s="578">
        <v>0</v>
      </c>
      <c r="BC68" s="578">
        <v>90652.5</v>
      </c>
      <c r="BD68" s="578">
        <v>24827.39</v>
      </c>
      <c r="BE68" s="578">
        <v>1100.81</v>
      </c>
      <c r="BF68" s="578">
        <v>114325.72</v>
      </c>
      <c r="BG68" s="578">
        <v>0</v>
      </c>
      <c r="BH68" s="578">
        <v>0</v>
      </c>
      <c r="BI68" s="578">
        <v>0</v>
      </c>
      <c r="BJ68" s="578">
        <v>0</v>
      </c>
      <c r="BK68" s="578">
        <v>0</v>
      </c>
      <c r="BL68" s="578">
        <v>0</v>
      </c>
      <c r="BM68" s="578">
        <v>0</v>
      </c>
      <c r="BN68" s="578">
        <v>0</v>
      </c>
      <c r="BO68" s="578">
        <v>10000</v>
      </c>
      <c r="BP68" s="578">
        <v>0</v>
      </c>
      <c r="BQ68" s="578">
        <v>0</v>
      </c>
      <c r="BR68" s="578">
        <v>0</v>
      </c>
      <c r="BS68" s="578">
        <v>0</v>
      </c>
      <c r="BT68" s="578">
        <v>0</v>
      </c>
      <c r="BU68" s="578">
        <v>354552.06</v>
      </c>
      <c r="BV68" s="578">
        <v>0</v>
      </c>
      <c r="BW68" s="578">
        <v>0</v>
      </c>
      <c r="BX68" s="578">
        <v>0</v>
      </c>
      <c r="BY68" s="578">
        <v>0</v>
      </c>
      <c r="BZ68" s="578">
        <v>1882322.42</v>
      </c>
      <c r="CA68" s="578">
        <v>1905645.51</v>
      </c>
      <c r="CB68" s="578">
        <v>0</v>
      </c>
      <c r="CC68" s="578">
        <v>0</v>
      </c>
      <c r="CD68" s="578">
        <v>354552.06</v>
      </c>
    </row>
    <row r="69" spans="1:82" hidden="1" x14ac:dyDescent="0.3">
      <c r="A69" s="574" t="s">
        <v>1654</v>
      </c>
      <c r="B69" s="577">
        <v>3303337</v>
      </c>
      <c r="C69" s="574">
        <f>_xlfn.XLOOKUP(B69,'[1]Blade-Export_15-08-2022_sources'!B:B,'[1]Blade-Export_15-08-2022_sources'!F:F,0,FALSE)</f>
        <v>330</v>
      </c>
      <c r="D69" s="574">
        <f>_xlfn.XLOOKUP($B69,'[1]Blade-Export_15-08-2022_sources'!$B:$B,'[1]Blade-Export_15-08-2022_sources'!G:G,0,FALSE)</f>
        <v>3337</v>
      </c>
      <c r="E69" s="574" t="str">
        <f>_xlfn.XLOOKUP($B69,'[1]Blade-Export_15-08-2022_sources'!$B:$B,'[1]Blade-Export_15-08-2022_sources'!H:H,0,FALSE)</f>
        <v xml:space="preserve">ST CHAD'S RC JI </v>
      </c>
      <c r="F69" s="578">
        <v>160374.72</v>
      </c>
      <c r="G69" s="578">
        <v>0</v>
      </c>
      <c r="H69" s="578">
        <v>0</v>
      </c>
      <c r="I69" s="578">
        <v>452678.03</v>
      </c>
      <c r="J69" s="578">
        <v>0</v>
      </c>
      <c r="K69" s="578">
        <v>9782.9500000000007</v>
      </c>
      <c r="L69" s="578">
        <v>0</v>
      </c>
      <c r="M69" s="578">
        <v>68227.08</v>
      </c>
      <c r="N69" s="578">
        <v>0</v>
      </c>
      <c r="O69" s="578">
        <v>0</v>
      </c>
      <c r="P69" s="578">
        <v>4335.7</v>
      </c>
      <c r="Q69" s="578">
        <v>7.97</v>
      </c>
      <c r="R69" s="578">
        <v>336.83</v>
      </c>
      <c r="S69" s="578">
        <v>0</v>
      </c>
      <c r="T69" s="578">
        <v>0</v>
      </c>
      <c r="U69" s="578">
        <v>0</v>
      </c>
      <c r="V69" s="578">
        <v>0</v>
      </c>
      <c r="W69" s="578"/>
      <c r="X69" s="578">
        <v>0</v>
      </c>
      <c r="Y69" s="578">
        <v>0</v>
      </c>
      <c r="Z69" s="578">
        <v>0</v>
      </c>
      <c r="AA69" s="578">
        <v>0</v>
      </c>
      <c r="AB69" s="578">
        <v>0</v>
      </c>
      <c r="AC69" s="578">
        <v>6630</v>
      </c>
      <c r="AD69" s="578">
        <v>23146.5</v>
      </c>
      <c r="AE69" s="578">
        <v>227631.56</v>
      </c>
      <c r="AF69" s="578">
        <v>0</v>
      </c>
      <c r="AG69" s="578">
        <v>88352.54</v>
      </c>
      <c r="AH69" s="578">
        <v>19604.849999999999</v>
      </c>
      <c r="AI69" s="578">
        <v>93233.51</v>
      </c>
      <c r="AJ69" s="578">
        <v>17436.439999999999</v>
      </c>
      <c r="AK69" s="578">
        <v>18253.96</v>
      </c>
      <c r="AL69" s="578">
        <v>394.79</v>
      </c>
      <c r="AM69" s="578">
        <v>127.7</v>
      </c>
      <c r="AN69" s="578">
        <v>0</v>
      </c>
      <c r="AO69" s="578">
        <v>0</v>
      </c>
      <c r="AP69" s="578">
        <v>4710</v>
      </c>
      <c r="AQ69" s="578">
        <v>1444.15</v>
      </c>
      <c r="AR69" s="578">
        <v>3867.67</v>
      </c>
      <c r="AS69" s="578">
        <v>254.14</v>
      </c>
      <c r="AT69" s="578">
        <v>4279.24</v>
      </c>
      <c r="AU69" s="578">
        <v>1585.34</v>
      </c>
      <c r="AV69" s="578">
        <v>1060.77</v>
      </c>
      <c r="AW69" s="578">
        <v>18104.32</v>
      </c>
      <c r="AX69" s="578">
        <v>32.5</v>
      </c>
      <c r="AY69" s="578">
        <v>0</v>
      </c>
      <c r="AZ69" s="578">
        <v>153644.04</v>
      </c>
      <c r="BA69" s="578">
        <v>4869.28</v>
      </c>
      <c r="BB69" s="578">
        <v>0</v>
      </c>
      <c r="BC69" s="578">
        <v>3388.76</v>
      </c>
      <c r="BD69" s="578">
        <v>0</v>
      </c>
      <c r="BE69" s="578">
        <v>167</v>
      </c>
      <c r="BF69" s="578">
        <v>63077.23</v>
      </c>
      <c r="BG69" s="578">
        <v>0</v>
      </c>
      <c r="BH69" s="578">
        <v>0</v>
      </c>
      <c r="BI69" s="578">
        <v>0</v>
      </c>
      <c r="BJ69" s="578">
        <v>0</v>
      </c>
      <c r="BK69" s="578">
        <v>0</v>
      </c>
      <c r="BL69" s="578">
        <v>0</v>
      </c>
      <c r="BM69" s="578">
        <v>0</v>
      </c>
      <c r="BN69" s="578">
        <v>0</v>
      </c>
      <c r="BO69" s="578">
        <v>10000</v>
      </c>
      <c r="BP69" s="578">
        <v>0</v>
      </c>
      <c r="BQ69" s="578">
        <v>0</v>
      </c>
      <c r="BR69" s="578">
        <v>0</v>
      </c>
      <c r="BS69" s="578">
        <v>0</v>
      </c>
      <c r="BT69" s="578">
        <v>0</v>
      </c>
      <c r="BU69" s="578">
        <v>0</v>
      </c>
      <c r="BV69" s="578">
        <v>0</v>
      </c>
      <c r="BW69" s="578">
        <v>0</v>
      </c>
      <c r="BX69" s="578">
        <v>0</v>
      </c>
      <c r="BY69" s="578">
        <v>0</v>
      </c>
      <c r="BZ69" s="578">
        <v>565145.06000000006</v>
      </c>
      <c r="CA69" s="578">
        <v>725519.79</v>
      </c>
      <c r="CB69" s="578">
        <v>0</v>
      </c>
      <c r="CC69" s="578">
        <v>0</v>
      </c>
      <c r="CD69" s="578">
        <v>0</v>
      </c>
    </row>
    <row r="70" spans="1:82" hidden="1" x14ac:dyDescent="0.3">
      <c r="A70" s="574" t="s">
        <v>1655</v>
      </c>
      <c r="B70" s="577">
        <v>3303331</v>
      </c>
      <c r="C70" s="574">
        <f>_xlfn.XLOOKUP(B70,'[1]Blade-Export_15-08-2022_sources'!B:B,'[1]Blade-Export_15-08-2022_sources'!F:F,0,FALSE)</f>
        <v>330</v>
      </c>
      <c r="D70" s="574">
        <f>_xlfn.XLOOKUP($B70,'[1]Blade-Export_15-08-2022_sources'!$B:$B,'[1]Blade-Export_15-08-2022_sources'!G:G,0,FALSE)</f>
        <v>3331</v>
      </c>
      <c r="E70" s="574" t="str">
        <f>_xlfn.XLOOKUP($B70,'[1]Blade-Export_15-08-2022_sources'!$B:$B,'[1]Blade-Export_15-08-2022_sources'!H:H,0,FALSE)</f>
        <v>ST CATHERINE'S RC JI NC</v>
      </c>
      <c r="F70" s="578">
        <v>89748.42</v>
      </c>
      <c r="G70" s="578">
        <v>0</v>
      </c>
      <c r="H70" s="578">
        <v>0</v>
      </c>
      <c r="I70" s="578">
        <v>1218512.95</v>
      </c>
      <c r="J70" s="578">
        <v>0</v>
      </c>
      <c r="K70" s="578">
        <v>18933.740000000002</v>
      </c>
      <c r="L70" s="578">
        <v>0</v>
      </c>
      <c r="M70" s="578">
        <v>107600</v>
      </c>
      <c r="N70" s="578">
        <v>2657.81</v>
      </c>
      <c r="O70" s="578">
        <v>0</v>
      </c>
      <c r="P70" s="578">
        <v>47325.31</v>
      </c>
      <c r="Q70" s="578">
        <v>125.65</v>
      </c>
      <c r="R70" s="578">
        <v>0</v>
      </c>
      <c r="S70" s="578">
        <v>0</v>
      </c>
      <c r="T70" s="578">
        <v>0</v>
      </c>
      <c r="U70" s="578">
        <v>18638.18</v>
      </c>
      <c r="V70" s="578">
        <v>0</v>
      </c>
      <c r="W70" s="578"/>
      <c r="X70" s="578">
        <v>0</v>
      </c>
      <c r="Y70" s="578">
        <v>0</v>
      </c>
      <c r="Z70" s="578">
        <v>0</v>
      </c>
      <c r="AA70" s="578">
        <v>0</v>
      </c>
      <c r="AB70" s="578">
        <v>8457.81</v>
      </c>
      <c r="AC70" s="578">
        <v>6960</v>
      </c>
      <c r="AD70" s="578">
        <v>43366</v>
      </c>
      <c r="AE70" s="578">
        <v>661972.16</v>
      </c>
      <c r="AF70" s="578">
        <v>0</v>
      </c>
      <c r="AG70" s="578">
        <v>276269.93</v>
      </c>
      <c r="AH70" s="578">
        <v>39739.519999999997</v>
      </c>
      <c r="AI70" s="578">
        <v>80710.12</v>
      </c>
      <c r="AJ70" s="578">
        <v>138.41999999999999</v>
      </c>
      <c r="AK70" s="578">
        <v>51479.85</v>
      </c>
      <c r="AL70" s="578">
        <v>665.72</v>
      </c>
      <c r="AM70" s="578">
        <v>7102.21</v>
      </c>
      <c r="AN70" s="578">
        <v>0</v>
      </c>
      <c r="AO70" s="578">
        <v>0</v>
      </c>
      <c r="AP70" s="578">
        <v>15811.38</v>
      </c>
      <c r="AQ70" s="578">
        <v>880.08</v>
      </c>
      <c r="AR70" s="578">
        <v>1207.9100000000001</v>
      </c>
      <c r="AS70" s="578">
        <v>2988.86</v>
      </c>
      <c r="AT70" s="578">
        <v>17729.91</v>
      </c>
      <c r="AU70" s="578">
        <v>3344.64</v>
      </c>
      <c r="AV70" s="578">
        <v>7916.29</v>
      </c>
      <c r="AW70" s="578">
        <v>62117.58</v>
      </c>
      <c r="AX70" s="578">
        <v>3686</v>
      </c>
      <c r="AY70" s="578">
        <v>0</v>
      </c>
      <c r="AZ70" s="578">
        <v>4575.3100000000004</v>
      </c>
      <c r="BA70" s="578">
        <v>0</v>
      </c>
      <c r="BB70" s="578">
        <v>0</v>
      </c>
      <c r="BC70" s="578">
        <v>75904.070000000007</v>
      </c>
      <c r="BD70" s="578">
        <v>38978.94</v>
      </c>
      <c r="BE70" s="578">
        <v>1126.29</v>
      </c>
      <c r="BF70" s="578">
        <v>112415.05</v>
      </c>
      <c r="BG70" s="578">
        <v>0</v>
      </c>
      <c r="BH70" s="578">
        <v>0</v>
      </c>
      <c r="BI70" s="578">
        <v>0</v>
      </c>
      <c r="BJ70" s="578">
        <v>0</v>
      </c>
      <c r="BK70" s="578">
        <v>0</v>
      </c>
      <c r="BL70" s="578">
        <v>0</v>
      </c>
      <c r="BM70" s="578">
        <v>0</v>
      </c>
      <c r="BN70" s="578">
        <v>0</v>
      </c>
      <c r="BO70" s="578">
        <v>10000</v>
      </c>
      <c r="BP70" s="578">
        <v>0</v>
      </c>
      <c r="BQ70" s="578">
        <v>0</v>
      </c>
      <c r="BR70" s="578">
        <v>0</v>
      </c>
      <c r="BS70" s="578">
        <v>0</v>
      </c>
      <c r="BT70" s="578">
        <v>0</v>
      </c>
      <c r="BU70" s="578">
        <v>95565.63</v>
      </c>
      <c r="BV70" s="578">
        <v>0</v>
      </c>
      <c r="BW70" s="578">
        <v>0</v>
      </c>
      <c r="BX70" s="578">
        <v>0</v>
      </c>
      <c r="BY70" s="578">
        <v>0</v>
      </c>
      <c r="BZ70" s="578">
        <v>1472577.45</v>
      </c>
      <c r="CA70" s="578">
        <v>1466760.24</v>
      </c>
      <c r="CB70" s="578">
        <v>0</v>
      </c>
      <c r="CC70" s="578">
        <v>0</v>
      </c>
      <c r="CD70" s="578">
        <v>95565.63</v>
      </c>
    </row>
    <row r="71" spans="1:82" hidden="1" x14ac:dyDescent="0.3">
      <c r="A71" s="574" t="s">
        <v>1656</v>
      </c>
      <c r="B71" s="577">
        <v>3303375</v>
      </c>
      <c r="C71" s="574">
        <f>_xlfn.XLOOKUP(B71,'[1]Blade-Export_15-08-2022_sources'!B:B,'[1]Blade-Export_15-08-2022_sources'!F:F,0,FALSE)</f>
        <v>330</v>
      </c>
      <c r="D71" s="574">
        <f>_xlfn.XLOOKUP($B71,'[1]Blade-Export_15-08-2022_sources'!$B:$B,'[1]Blade-Export_15-08-2022_sources'!G:G,0,FALSE)</f>
        <v>3375</v>
      </c>
      <c r="E71" s="574" t="str">
        <f>_xlfn.XLOOKUP($B71,'[1]Blade-Export_15-08-2022_sources'!$B:$B,'[1]Blade-Export_15-08-2022_sources'!H:H,0,FALSE)</f>
        <v xml:space="preserve">ST BERNARD'S RC JI </v>
      </c>
      <c r="F71" s="578">
        <v>259307.18</v>
      </c>
      <c r="G71" s="578">
        <v>0</v>
      </c>
      <c r="H71" s="578">
        <v>0</v>
      </c>
      <c r="I71" s="578">
        <v>1849660.39</v>
      </c>
      <c r="J71" s="578">
        <v>0</v>
      </c>
      <c r="K71" s="578">
        <v>20822.080000000002</v>
      </c>
      <c r="L71" s="578">
        <v>0</v>
      </c>
      <c r="M71" s="578">
        <v>153330</v>
      </c>
      <c r="N71" s="578">
        <v>3780</v>
      </c>
      <c r="O71" s="578">
        <v>0</v>
      </c>
      <c r="P71" s="578">
        <v>73860.47</v>
      </c>
      <c r="Q71" s="578">
        <v>352.07</v>
      </c>
      <c r="R71" s="578">
        <v>0</v>
      </c>
      <c r="S71" s="578">
        <v>0</v>
      </c>
      <c r="T71" s="578">
        <v>0</v>
      </c>
      <c r="U71" s="578">
        <v>0</v>
      </c>
      <c r="V71" s="578">
        <v>0</v>
      </c>
      <c r="W71" s="578"/>
      <c r="X71" s="578">
        <v>0</v>
      </c>
      <c r="Y71" s="578">
        <v>0</v>
      </c>
      <c r="Z71" s="578">
        <v>0</v>
      </c>
      <c r="AA71" s="578">
        <v>0</v>
      </c>
      <c r="AB71" s="578">
        <v>12045</v>
      </c>
      <c r="AC71" s="578">
        <v>13800</v>
      </c>
      <c r="AD71" s="578">
        <v>78007</v>
      </c>
      <c r="AE71" s="578">
        <v>1145197</v>
      </c>
      <c r="AF71" s="578">
        <v>4739.3100000000004</v>
      </c>
      <c r="AG71" s="578">
        <v>252048.64000000001</v>
      </c>
      <c r="AH71" s="578">
        <v>52838.53</v>
      </c>
      <c r="AI71" s="578">
        <v>110139.99</v>
      </c>
      <c r="AJ71" s="578">
        <v>533.03</v>
      </c>
      <c r="AK71" s="578">
        <v>60222.16</v>
      </c>
      <c r="AL71" s="578">
        <v>1078.0999999999999</v>
      </c>
      <c r="AM71" s="578">
        <v>3886</v>
      </c>
      <c r="AN71" s="578">
        <v>0</v>
      </c>
      <c r="AO71" s="578">
        <v>0</v>
      </c>
      <c r="AP71" s="578">
        <v>33210.42</v>
      </c>
      <c r="AQ71" s="578">
        <v>6027.49</v>
      </c>
      <c r="AR71" s="578">
        <v>1767.39</v>
      </c>
      <c r="AS71" s="578">
        <v>5699.27</v>
      </c>
      <c r="AT71" s="578">
        <v>21110.68</v>
      </c>
      <c r="AU71" s="578">
        <v>5608.7</v>
      </c>
      <c r="AV71" s="578">
        <v>5950.55</v>
      </c>
      <c r="AW71" s="578">
        <v>82686.37</v>
      </c>
      <c r="AX71" s="578">
        <v>15305.37</v>
      </c>
      <c r="AY71" s="578">
        <v>0</v>
      </c>
      <c r="AZ71" s="578">
        <v>37715.17</v>
      </c>
      <c r="BA71" s="578">
        <v>12421.38</v>
      </c>
      <c r="BB71" s="578">
        <v>0</v>
      </c>
      <c r="BC71" s="578">
        <v>115300.28</v>
      </c>
      <c r="BD71" s="578">
        <v>100739.08</v>
      </c>
      <c r="BE71" s="578">
        <v>2647.78</v>
      </c>
      <c r="BF71" s="578">
        <v>136262.35999999999</v>
      </c>
      <c r="BG71" s="578">
        <v>0</v>
      </c>
      <c r="BH71" s="578">
        <v>0</v>
      </c>
      <c r="BI71" s="578">
        <v>0</v>
      </c>
      <c r="BJ71" s="578">
        <v>0</v>
      </c>
      <c r="BK71" s="578">
        <v>0</v>
      </c>
      <c r="BL71" s="578">
        <v>0</v>
      </c>
      <c r="BM71" s="578">
        <v>0</v>
      </c>
      <c r="BN71" s="578">
        <v>0</v>
      </c>
      <c r="BO71" s="578">
        <v>10000</v>
      </c>
      <c r="BP71" s="578">
        <v>0</v>
      </c>
      <c r="BQ71" s="578">
        <v>0</v>
      </c>
      <c r="BR71" s="578">
        <v>0</v>
      </c>
      <c r="BS71" s="578">
        <v>0</v>
      </c>
      <c r="BT71" s="578">
        <v>0</v>
      </c>
      <c r="BU71" s="578">
        <v>251829.13</v>
      </c>
      <c r="BV71" s="578">
        <v>0</v>
      </c>
      <c r="BW71" s="578">
        <v>0</v>
      </c>
      <c r="BX71" s="578">
        <v>0</v>
      </c>
      <c r="BY71" s="578">
        <v>0</v>
      </c>
      <c r="BZ71" s="578">
        <v>2205657.0099999998</v>
      </c>
      <c r="CA71" s="578">
        <v>2213135.0499999998</v>
      </c>
      <c r="CB71" s="578">
        <v>0</v>
      </c>
      <c r="CC71" s="578">
        <v>0</v>
      </c>
      <c r="CD71" s="578">
        <v>251829.13</v>
      </c>
    </row>
    <row r="72" spans="1:82" hidden="1" x14ac:dyDescent="0.3">
      <c r="A72" s="574" t="s">
        <v>1657</v>
      </c>
      <c r="B72" s="577">
        <v>3303372</v>
      </c>
      <c r="C72" s="574">
        <f>_xlfn.XLOOKUP(B72,'[1]Blade-Export_15-08-2022_sources'!B:B,'[1]Blade-Export_15-08-2022_sources'!F:F,0,FALSE)</f>
        <v>330</v>
      </c>
      <c r="D72" s="574">
        <f>_xlfn.XLOOKUP($B72,'[1]Blade-Export_15-08-2022_sources'!$B:$B,'[1]Blade-Export_15-08-2022_sources'!G:G,0,FALSE)</f>
        <v>3372</v>
      </c>
      <c r="E72" s="574" t="str">
        <f>_xlfn.XLOOKUP($B72,'[1]Blade-Export_15-08-2022_sources'!$B:$B,'[1]Blade-Export_15-08-2022_sources'!H:H,0,FALSE)</f>
        <v>ST BERNADETTE'S RC JI NC</v>
      </c>
      <c r="F72" s="578">
        <v>258314.53</v>
      </c>
      <c r="G72" s="578">
        <v>0</v>
      </c>
      <c r="H72" s="578">
        <v>0</v>
      </c>
      <c r="I72" s="578">
        <v>2960518.91</v>
      </c>
      <c r="J72" s="578">
        <v>0</v>
      </c>
      <c r="K72" s="578">
        <v>59004.37</v>
      </c>
      <c r="L72" s="578">
        <v>0</v>
      </c>
      <c r="M72" s="578">
        <v>367425</v>
      </c>
      <c r="N72" s="578">
        <v>8505</v>
      </c>
      <c r="O72" s="578">
        <v>0</v>
      </c>
      <c r="P72" s="578">
        <v>259065.51</v>
      </c>
      <c r="Q72" s="578">
        <v>361.64</v>
      </c>
      <c r="R72" s="578">
        <v>0</v>
      </c>
      <c r="S72" s="578">
        <v>0</v>
      </c>
      <c r="T72" s="578">
        <v>0</v>
      </c>
      <c r="U72" s="578">
        <v>120</v>
      </c>
      <c r="V72" s="578">
        <v>0</v>
      </c>
      <c r="W72" s="578"/>
      <c r="X72" s="578">
        <v>0</v>
      </c>
      <c r="Y72" s="578">
        <v>0</v>
      </c>
      <c r="Z72" s="578">
        <v>0</v>
      </c>
      <c r="AA72" s="578">
        <v>0</v>
      </c>
      <c r="AB72" s="578">
        <v>28917.5</v>
      </c>
      <c r="AC72" s="578">
        <v>20260</v>
      </c>
      <c r="AD72" s="578">
        <v>64528</v>
      </c>
      <c r="AE72" s="578">
        <v>1975138.24</v>
      </c>
      <c r="AF72" s="578">
        <v>0</v>
      </c>
      <c r="AG72" s="578">
        <v>521460.83</v>
      </c>
      <c r="AH72" s="578">
        <v>0</v>
      </c>
      <c r="AI72" s="578">
        <v>309616.01</v>
      </c>
      <c r="AJ72" s="578">
        <v>17.86</v>
      </c>
      <c r="AK72" s="578">
        <v>98469.25</v>
      </c>
      <c r="AL72" s="578">
        <v>4692.01</v>
      </c>
      <c r="AM72" s="578">
        <v>17104.48</v>
      </c>
      <c r="AN72" s="578">
        <v>0</v>
      </c>
      <c r="AO72" s="578">
        <v>12065.32</v>
      </c>
      <c r="AP72" s="578">
        <v>21881.95</v>
      </c>
      <c r="AQ72" s="578">
        <v>877.11</v>
      </c>
      <c r="AR72" s="578">
        <v>55900.69</v>
      </c>
      <c r="AS72" s="578">
        <v>4322.9799999999996</v>
      </c>
      <c r="AT72" s="578">
        <v>37284.67</v>
      </c>
      <c r="AU72" s="578">
        <v>18215.419999999998</v>
      </c>
      <c r="AV72" s="578">
        <v>7466.3</v>
      </c>
      <c r="AW72" s="578">
        <v>176749.22</v>
      </c>
      <c r="AX72" s="578">
        <v>27912.43</v>
      </c>
      <c r="AY72" s="578">
        <v>0</v>
      </c>
      <c r="AZ72" s="578">
        <v>27149.3</v>
      </c>
      <c r="BA72" s="578">
        <v>0</v>
      </c>
      <c r="BB72" s="578">
        <v>0</v>
      </c>
      <c r="BC72" s="578">
        <v>178313.44</v>
      </c>
      <c r="BD72" s="578">
        <v>94389.75</v>
      </c>
      <c r="BE72" s="578">
        <v>25727.72</v>
      </c>
      <c r="BF72" s="578">
        <v>82380.05</v>
      </c>
      <c r="BG72" s="578">
        <v>0</v>
      </c>
      <c r="BH72" s="578">
        <v>0</v>
      </c>
      <c r="BI72" s="578">
        <v>0</v>
      </c>
      <c r="BJ72" s="578">
        <v>0</v>
      </c>
      <c r="BK72" s="578">
        <v>0</v>
      </c>
      <c r="BL72" s="578">
        <v>0</v>
      </c>
      <c r="BM72" s="578">
        <v>0</v>
      </c>
      <c r="BN72" s="578">
        <v>0</v>
      </c>
      <c r="BO72" s="578">
        <v>10000</v>
      </c>
      <c r="BP72" s="578">
        <v>0</v>
      </c>
      <c r="BQ72" s="578">
        <v>0</v>
      </c>
      <c r="BR72" s="578">
        <v>0</v>
      </c>
      <c r="BS72" s="578">
        <v>0</v>
      </c>
      <c r="BT72" s="578">
        <v>0</v>
      </c>
      <c r="BU72" s="578">
        <v>329885.43</v>
      </c>
      <c r="BV72" s="578">
        <v>0</v>
      </c>
      <c r="BW72" s="578">
        <v>0</v>
      </c>
      <c r="BX72" s="578">
        <v>0</v>
      </c>
      <c r="BY72" s="578">
        <v>0</v>
      </c>
      <c r="BZ72" s="578">
        <v>3768705.93</v>
      </c>
      <c r="CA72" s="578">
        <v>3697135.03</v>
      </c>
      <c r="CB72" s="578">
        <v>0</v>
      </c>
      <c r="CC72" s="578">
        <v>0</v>
      </c>
      <c r="CD72" s="578">
        <v>329885.43</v>
      </c>
    </row>
    <row r="73" spans="1:82" hidden="1" x14ac:dyDescent="0.3">
      <c r="A73" s="574" t="s">
        <v>1658</v>
      </c>
      <c r="B73" s="577">
        <v>3302183</v>
      </c>
      <c r="C73" s="574">
        <f>_xlfn.XLOOKUP(B73,'[1]Blade-Export_15-08-2022_sources'!B:B,'[1]Blade-Export_15-08-2022_sources'!F:F,0,FALSE)</f>
        <v>330</v>
      </c>
      <c r="D73" s="574">
        <f>_xlfn.XLOOKUP($B73,'[1]Blade-Export_15-08-2022_sources'!$B:$B,'[1]Blade-Export_15-08-2022_sources'!G:G,0,FALSE)</f>
        <v>2183</v>
      </c>
      <c r="E73" s="574" t="str">
        <f>_xlfn.XLOOKUP($B73,'[1]Blade-Export_15-08-2022_sources'!$B:$B,'[1]Blade-Export_15-08-2022_sources'!H:H,0,FALSE)</f>
        <v>ST BENEDICT'S I NC</v>
      </c>
      <c r="F73" s="578">
        <v>-505778.6</v>
      </c>
      <c r="G73" s="578">
        <v>0</v>
      </c>
      <c r="H73" s="578">
        <v>11759.33</v>
      </c>
      <c r="I73" s="578">
        <v>2302710.2999999998</v>
      </c>
      <c r="J73" s="578">
        <v>0</v>
      </c>
      <c r="K73" s="578">
        <v>29875.1</v>
      </c>
      <c r="L73" s="578">
        <v>0</v>
      </c>
      <c r="M73" s="578">
        <v>201750</v>
      </c>
      <c r="N73" s="578">
        <v>4843.13</v>
      </c>
      <c r="O73" s="578">
        <v>0</v>
      </c>
      <c r="P73" s="578">
        <v>0</v>
      </c>
      <c r="Q73" s="578">
        <v>0</v>
      </c>
      <c r="R73" s="578">
        <v>465</v>
      </c>
      <c r="S73" s="578">
        <v>0</v>
      </c>
      <c r="T73" s="578">
        <v>0</v>
      </c>
      <c r="U73" s="578">
        <v>4639.1099999999997</v>
      </c>
      <c r="V73" s="578">
        <v>0</v>
      </c>
      <c r="W73" s="578"/>
      <c r="X73" s="578">
        <v>0</v>
      </c>
      <c r="Y73" s="578">
        <v>0</v>
      </c>
      <c r="Z73" s="578">
        <v>0</v>
      </c>
      <c r="AA73" s="578">
        <v>0</v>
      </c>
      <c r="AB73" s="578">
        <v>16918.13</v>
      </c>
      <c r="AC73" s="578">
        <v>13330</v>
      </c>
      <c r="AD73" s="578">
        <v>55707</v>
      </c>
      <c r="AE73" s="578">
        <v>1189481.53</v>
      </c>
      <c r="AF73" s="578">
        <v>0</v>
      </c>
      <c r="AG73" s="578">
        <v>262551.15000000002</v>
      </c>
      <c r="AH73" s="578">
        <v>111319.59</v>
      </c>
      <c r="AI73" s="578">
        <v>244251.23</v>
      </c>
      <c r="AJ73" s="578">
        <v>0</v>
      </c>
      <c r="AK73" s="578">
        <v>63327.199999999997</v>
      </c>
      <c r="AL73" s="578">
        <v>1085.1199999999999</v>
      </c>
      <c r="AM73" s="578">
        <v>3680</v>
      </c>
      <c r="AN73" s="578">
        <v>0</v>
      </c>
      <c r="AO73" s="578">
        <v>0</v>
      </c>
      <c r="AP73" s="578">
        <v>79702.399999999994</v>
      </c>
      <c r="AQ73" s="578">
        <v>73.5</v>
      </c>
      <c r="AR73" s="578">
        <v>85.12</v>
      </c>
      <c r="AS73" s="578">
        <v>13026.16</v>
      </c>
      <c r="AT73" s="578">
        <v>32906.6</v>
      </c>
      <c r="AU73" s="578">
        <v>36304.92</v>
      </c>
      <c r="AV73" s="578">
        <v>6485.91</v>
      </c>
      <c r="AW73" s="578">
        <v>58559.41</v>
      </c>
      <c r="AX73" s="578">
        <v>12926.58</v>
      </c>
      <c r="AY73" s="578">
        <v>0</v>
      </c>
      <c r="AZ73" s="578">
        <v>10462.540000000001</v>
      </c>
      <c r="BA73" s="578">
        <v>8200</v>
      </c>
      <c r="BB73" s="578">
        <v>0</v>
      </c>
      <c r="BC73" s="578">
        <v>15801.24</v>
      </c>
      <c r="BD73" s="578">
        <v>168188.5</v>
      </c>
      <c r="BE73" s="578">
        <v>41085.370000000003</v>
      </c>
      <c r="BF73" s="578">
        <v>166882.79</v>
      </c>
      <c r="BG73" s="578">
        <v>0</v>
      </c>
      <c r="BH73" s="578">
        <v>0</v>
      </c>
      <c r="BI73" s="578">
        <v>2110</v>
      </c>
      <c r="BJ73" s="578">
        <v>0</v>
      </c>
      <c r="BK73" s="578">
        <v>0</v>
      </c>
      <c r="BL73" s="578">
        <v>8178.25</v>
      </c>
      <c r="BM73" s="578">
        <v>0</v>
      </c>
      <c r="BN73" s="578">
        <v>0</v>
      </c>
      <c r="BO73" s="578">
        <v>10000</v>
      </c>
      <c r="BP73" s="578">
        <v>0</v>
      </c>
      <c r="BQ73" s="578">
        <v>0</v>
      </c>
      <c r="BR73" s="578">
        <v>0</v>
      </c>
      <c r="BS73" s="578">
        <v>9393</v>
      </c>
      <c r="BT73" s="578">
        <v>0</v>
      </c>
      <c r="BU73" s="578">
        <v>-404037.71</v>
      </c>
      <c r="BV73" s="578">
        <v>10544.58</v>
      </c>
      <c r="BW73" s="578">
        <v>0</v>
      </c>
      <c r="BX73" s="578">
        <v>0</v>
      </c>
      <c r="BY73" s="578">
        <v>0</v>
      </c>
      <c r="BZ73" s="578">
        <v>2630237.77</v>
      </c>
      <c r="CA73" s="578">
        <v>2528496.86</v>
      </c>
      <c r="CB73" s="578">
        <v>8178.25</v>
      </c>
      <c r="CC73" s="578">
        <v>9393</v>
      </c>
      <c r="CD73" s="578">
        <v>-393493.13</v>
      </c>
    </row>
    <row r="74" spans="1:82" hidden="1" x14ac:dyDescent="0.3">
      <c r="A74" s="574" t="s">
        <v>1659</v>
      </c>
      <c r="B74" s="577">
        <v>3303329</v>
      </c>
      <c r="C74" s="574">
        <f>_xlfn.XLOOKUP(B74,'[1]Blade-Export_15-08-2022_sources'!B:B,'[1]Blade-Export_15-08-2022_sources'!F:F,0,FALSE)</f>
        <v>330</v>
      </c>
      <c r="D74" s="574">
        <f>_xlfn.XLOOKUP($B74,'[1]Blade-Export_15-08-2022_sources'!$B:$B,'[1]Blade-Export_15-08-2022_sources'!G:G,0,FALSE)</f>
        <v>3329</v>
      </c>
      <c r="E74" s="574" t="str">
        <f>_xlfn.XLOOKUP($B74,'[1]Blade-Export_15-08-2022_sources'!$B:$B,'[1]Blade-Export_15-08-2022_sources'!H:H,0,FALSE)</f>
        <v>ST AUGUSTINE'S RC JI NC</v>
      </c>
      <c r="F74" s="578">
        <v>135091.97</v>
      </c>
      <c r="G74" s="578">
        <v>0</v>
      </c>
      <c r="H74" s="578">
        <v>0</v>
      </c>
      <c r="I74" s="578">
        <v>1149538.96</v>
      </c>
      <c r="J74" s="578">
        <v>0</v>
      </c>
      <c r="K74" s="578">
        <v>31256.04</v>
      </c>
      <c r="L74" s="578">
        <v>0</v>
      </c>
      <c r="M74" s="578">
        <v>69560</v>
      </c>
      <c r="N74" s="578">
        <v>1712.81</v>
      </c>
      <c r="O74" s="578">
        <v>0</v>
      </c>
      <c r="P74" s="578">
        <v>53101.72</v>
      </c>
      <c r="Q74" s="578">
        <v>143.44</v>
      </c>
      <c r="R74" s="578">
        <v>0</v>
      </c>
      <c r="S74" s="578">
        <v>0</v>
      </c>
      <c r="T74" s="578">
        <v>0</v>
      </c>
      <c r="U74" s="578">
        <v>5510</v>
      </c>
      <c r="V74" s="578">
        <v>0</v>
      </c>
      <c r="W74" s="578"/>
      <c r="X74" s="578">
        <v>0</v>
      </c>
      <c r="Y74" s="578">
        <v>0</v>
      </c>
      <c r="Z74" s="578">
        <v>0</v>
      </c>
      <c r="AA74" s="578">
        <v>0</v>
      </c>
      <c r="AB74" s="578">
        <v>5337.81</v>
      </c>
      <c r="AC74" s="578">
        <v>6900</v>
      </c>
      <c r="AD74" s="578">
        <v>46373</v>
      </c>
      <c r="AE74" s="578">
        <v>621005.23</v>
      </c>
      <c r="AF74" s="578">
        <v>0</v>
      </c>
      <c r="AG74" s="578">
        <v>208542.83</v>
      </c>
      <c r="AH74" s="578">
        <v>61585.32</v>
      </c>
      <c r="AI74" s="578">
        <v>114064.45</v>
      </c>
      <c r="AJ74" s="578">
        <v>0</v>
      </c>
      <c r="AK74" s="578">
        <v>62691.96</v>
      </c>
      <c r="AL74" s="578">
        <v>55</v>
      </c>
      <c r="AM74" s="578">
        <v>0</v>
      </c>
      <c r="AN74" s="578">
        <v>0</v>
      </c>
      <c r="AO74" s="578">
        <v>0</v>
      </c>
      <c r="AP74" s="578">
        <v>5244.55</v>
      </c>
      <c r="AQ74" s="578">
        <v>2500</v>
      </c>
      <c r="AR74" s="578">
        <v>1840.41</v>
      </c>
      <c r="AS74" s="578">
        <v>3176.07</v>
      </c>
      <c r="AT74" s="578">
        <v>14016.19</v>
      </c>
      <c r="AU74" s="578">
        <v>3370.37</v>
      </c>
      <c r="AV74" s="578">
        <v>2045.71</v>
      </c>
      <c r="AW74" s="578">
        <v>88168.22</v>
      </c>
      <c r="AX74" s="578">
        <v>0</v>
      </c>
      <c r="AY74" s="578">
        <v>0</v>
      </c>
      <c r="AZ74" s="578">
        <v>4445.29</v>
      </c>
      <c r="BA74" s="578">
        <v>8738.11</v>
      </c>
      <c r="BB74" s="578">
        <v>0</v>
      </c>
      <c r="BC74" s="578">
        <v>80805.649999999994</v>
      </c>
      <c r="BD74" s="578">
        <v>12819.06</v>
      </c>
      <c r="BE74" s="578">
        <v>994.11</v>
      </c>
      <c r="BF74" s="578">
        <v>105815.16</v>
      </c>
      <c r="BG74" s="578">
        <v>0</v>
      </c>
      <c r="BH74" s="578">
        <v>0</v>
      </c>
      <c r="BI74" s="578">
        <v>0</v>
      </c>
      <c r="BJ74" s="578">
        <v>0</v>
      </c>
      <c r="BK74" s="578">
        <v>0</v>
      </c>
      <c r="BL74" s="578">
        <v>0</v>
      </c>
      <c r="BM74" s="578">
        <v>0</v>
      </c>
      <c r="BN74" s="578">
        <v>0</v>
      </c>
      <c r="BO74" s="578">
        <v>10000</v>
      </c>
      <c r="BP74" s="578">
        <v>0</v>
      </c>
      <c r="BQ74" s="578">
        <v>0</v>
      </c>
      <c r="BR74" s="578">
        <v>0</v>
      </c>
      <c r="BS74" s="578">
        <v>0</v>
      </c>
      <c r="BT74" s="578">
        <v>0</v>
      </c>
      <c r="BU74" s="578">
        <v>102602.06</v>
      </c>
      <c r="BV74" s="578">
        <v>0</v>
      </c>
      <c r="BW74" s="578">
        <v>0</v>
      </c>
      <c r="BX74" s="578">
        <v>0</v>
      </c>
      <c r="BY74" s="578">
        <v>0</v>
      </c>
      <c r="BZ74" s="578">
        <v>1369433.78</v>
      </c>
      <c r="CA74" s="578">
        <v>1401923.69</v>
      </c>
      <c r="CB74" s="578">
        <v>0</v>
      </c>
      <c r="CC74" s="578">
        <v>0</v>
      </c>
      <c r="CD74" s="578">
        <v>102602.06</v>
      </c>
    </row>
    <row r="75" spans="1:82" hidden="1" x14ac:dyDescent="0.3">
      <c r="A75" s="574" t="s">
        <v>1660</v>
      </c>
      <c r="B75" s="577">
        <v>3303335</v>
      </c>
      <c r="C75" s="574">
        <f>_xlfn.XLOOKUP(B75,'[1]Blade-Export_15-08-2022_sources'!B:B,'[1]Blade-Export_15-08-2022_sources'!F:F,0,FALSE)</f>
        <v>330</v>
      </c>
      <c r="D75" s="574">
        <f>_xlfn.XLOOKUP($B75,'[1]Blade-Export_15-08-2022_sources'!$B:$B,'[1]Blade-Export_15-08-2022_sources'!G:G,0,FALSE)</f>
        <v>3335</v>
      </c>
      <c r="E75" s="574" t="str">
        <f>_xlfn.XLOOKUP($B75,'[1]Blade-Export_15-08-2022_sources'!$B:$B,'[1]Blade-Export_15-08-2022_sources'!H:H,0,FALSE)</f>
        <v xml:space="preserve">ST ANNE'S RC JI </v>
      </c>
      <c r="F75" s="578">
        <v>132089.06</v>
      </c>
      <c r="G75" s="578">
        <v>0</v>
      </c>
      <c r="H75" s="578">
        <v>0</v>
      </c>
      <c r="I75" s="578">
        <v>1126810.31</v>
      </c>
      <c r="J75" s="578">
        <v>0</v>
      </c>
      <c r="K75" s="578">
        <v>2951.86</v>
      </c>
      <c r="L75" s="578">
        <v>0</v>
      </c>
      <c r="M75" s="578">
        <v>151985</v>
      </c>
      <c r="N75" s="578">
        <v>3661.88</v>
      </c>
      <c r="O75" s="578">
        <v>0</v>
      </c>
      <c r="P75" s="578">
        <v>53442.9</v>
      </c>
      <c r="Q75" s="578">
        <v>9.02</v>
      </c>
      <c r="R75" s="578">
        <v>0</v>
      </c>
      <c r="S75" s="578">
        <v>0</v>
      </c>
      <c r="T75" s="578">
        <v>0</v>
      </c>
      <c r="U75" s="578">
        <v>2940.8</v>
      </c>
      <c r="V75" s="578">
        <v>0</v>
      </c>
      <c r="W75" s="578"/>
      <c r="X75" s="578">
        <v>0</v>
      </c>
      <c r="Y75" s="578">
        <v>0</v>
      </c>
      <c r="Z75" s="578">
        <v>0</v>
      </c>
      <c r="AA75" s="578">
        <v>0</v>
      </c>
      <c r="AB75" s="578">
        <v>11854.38</v>
      </c>
      <c r="AC75" s="578">
        <v>6500</v>
      </c>
      <c r="AD75" s="578">
        <v>29896</v>
      </c>
      <c r="AE75" s="578">
        <v>625286.43999999994</v>
      </c>
      <c r="AF75" s="578">
        <v>0</v>
      </c>
      <c r="AG75" s="578">
        <v>186608.64000000001</v>
      </c>
      <c r="AH75" s="578">
        <v>35472.43</v>
      </c>
      <c r="AI75" s="578">
        <v>170370.56</v>
      </c>
      <c r="AJ75" s="578">
        <v>0</v>
      </c>
      <c r="AK75" s="578">
        <v>16823.400000000001</v>
      </c>
      <c r="AL75" s="578">
        <v>3861.32</v>
      </c>
      <c r="AM75" s="578">
        <v>140</v>
      </c>
      <c r="AN75" s="578">
        <v>0</v>
      </c>
      <c r="AO75" s="578">
        <v>0</v>
      </c>
      <c r="AP75" s="578">
        <v>30091.11</v>
      </c>
      <c r="AQ75" s="578">
        <v>2003.99</v>
      </c>
      <c r="AR75" s="578">
        <v>38883.629999999997</v>
      </c>
      <c r="AS75" s="578">
        <v>2676.09</v>
      </c>
      <c r="AT75" s="578">
        <v>24472.9</v>
      </c>
      <c r="AU75" s="578">
        <v>7974.33</v>
      </c>
      <c r="AV75" s="578">
        <v>7411.29</v>
      </c>
      <c r="AW75" s="578">
        <v>69471.86</v>
      </c>
      <c r="AX75" s="578">
        <v>199.51</v>
      </c>
      <c r="AY75" s="578">
        <v>0</v>
      </c>
      <c r="AZ75" s="578">
        <v>31973.08</v>
      </c>
      <c r="BA75" s="578">
        <v>4450</v>
      </c>
      <c r="BB75" s="578">
        <v>0</v>
      </c>
      <c r="BC75" s="578">
        <v>80126.899999999994</v>
      </c>
      <c r="BD75" s="578">
        <v>45647.360000000001</v>
      </c>
      <c r="BE75" s="578">
        <v>0</v>
      </c>
      <c r="BF75" s="578">
        <v>131747.09</v>
      </c>
      <c r="BG75" s="578">
        <v>0</v>
      </c>
      <c r="BH75" s="578">
        <v>0</v>
      </c>
      <c r="BI75" s="578">
        <v>0</v>
      </c>
      <c r="BJ75" s="578">
        <v>0</v>
      </c>
      <c r="BK75" s="578">
        <v>0</v>
      </c>
      <c r="BL75" s="578">
        <v>0</v>
      </c>
      <c r="BM75" s="578">
        <v>0</v>
      </c>
      <c r="BN75" s="578">
        <v>0</v>
      </c>
      <c r="BO75" s="578">
        <v>10000</v>
      </c>
      <c r="BP75" s="578">
        <v>0</v>
      </c>
      <c r="BQ75" s="578">
        <v>0</v>
      </c>
      <c r="BR75" s="578">
        <v>0</v>
      </c>
      <c r="BS75" s="578">
        <v>0</v>
      </c>
      <c r="BT75" s="578">
        <v>0</v>
      </c>
      <c r="BU75" s="578">
        <v>6449.26</v>
      </c>
      <c r="BV75" s="578">
        <v>0</v>
      </c>
      <c r="BW75" s="578">
        <v>0</v>
      </c>
      <c r="BX75" s="578">
        <v>0</v>
      </c>
      <c r="BY75" s="578">
        <v>0</v>
      </c>
      <c r="BZ75" s="578">
        <v>1390052.15</v>
      </c>
      <c r="CA75" s="578">
        <v>1515691.93</v>
      </c>
      <c r="CB75" s="578">
        <v>0</v>
      </c>
      <c r="CC75" s="578">
        <v>0</v>
      </c>
      <c r="CD75" s="578">
        <v>6449.26</v>
      </c>
    </row>
    <row r="76" spans="1:82" hidden="1" x14ac:dyDescent="0.3">
      <c r="A76" s="574" t="s">
        <v>1661</v>
      </c>
      <c r="B76" s="577">
        <v>3303380</v>
      </c>
      <c r="C76" s="574">
        <f>_xlfn.XLOOKUP(B76,'[1]Blade-Export_15-08-2022_sources'!B:B,'[1]Blade-Export_15-08-2022_sources'!F:F,0,FALSE)</f>
        <v>330</v>
      </c>
      <c r="D76" s="574">
        <f>_xlfn.XLOOKUP($B76,'[1]Blade-Export_15-08-2022_sources'!$B:$B,'[1]Blade-Export_15-08-2022_sources'!G:G,0,FALSE)</f>
        <v>3380</v>
      </c>
      <c r="E76" s="574" t="str">
        <f>_xlfn.XLOOKUP($B76,'[1]Blade-Export_15-08-2022_sources'!$B:$B,'[1]Blade-Export_15-08-2022_sources'!H:H,0,FALSE)</f>
        <v xml:space="preserve">ST AMBROSE BARLOW RC JI </v>
      </c>
      <c r="F76" s="578">
        <v>222167.97</v>
      </c>
      <c r="G76" s="578">
        <v>0</v>
      </c>
      <c r="H76" s="578">
        <v>0</v>
      </c>
      <c r="I76" s="578">
        <v>932394.95</v>
      </c>
      <c r="J76" s="578">
        <v>0</v>
      </c>
      <c r="K76" s="578">
        <v>40270.239999999998</v>
      </c>
      <c r="L76" s="578">
        <v>0</v>
      </c>
      <c r="M76" s="578">
        <v>41695</v>
      </c>
      <c r="N76" s="578">
        <v>1122.19</v>
      </c>
      <c r="O76" s="578">
        <v>0</v>
      </c>
      <c r="P76" s="578">
        <v>37962.28</v>
      </c>
      <c r="Q76" s="578">
        <v>245.05</v>
      </c>
      <c r="R76" s="578">
        <v>0</v>
      </c>
      <c r="S76" s="578">
        <v>0</v>
      </c>
      <c r="T76" s="578">
        <v>0</v>
      </c>
      <c r="U76" s="578">
        <v>17635.89</v>
      </c>
      <c r="V76" s="578">
        <v>0</v>
      </c>
      <c r="W76" s="578"/>
      <c r="X76" s="578">
        <v>0</v>
      </c>
      <c r="Y76" s="578">
        <v>0</v>
      </c>
      <c r="Z76" s="578">
        <v>0</v>
      </c>
      <c r="AA76" s="578">
        <v>0</v>
      </c>
      <c r="AB76" s="578">
        <v>3369.69</v>
      </c>
      <c r="AC76" s="578">
        <v>6930</v>
      </c>
      <c r="AD76" s="578">
        <v>51620</v>
      </c>
      <c r="AE76" s="578">
        <v>500661.15</v>
      </c>
      <c r="AF76" s="578">
        <v>0</v>
      </c>
      <c r="AG76" s="578">
        <v>184787.68</v>
      </c>
      <c r="AH76" s="578">
        <v>39910.11</v>
      </c>
      <c r="AI76" s="578">
        <v>42752.67</v>
      </c>
      <c r="AJ76" s="578">
        <v>0</v>
      </c>
      <c r="AK76" s="578">
        <v>23402.01</v>
      </c>
      <c r="AL76" s="578">
        <v>1592.97</v>
      </c>
      <c r="AM76" s="578">
        <v>1554</v>
      </c>
      <c r="AN76" s="578">
        <v>0</v>
      </c>
      <c r="AO76" s="578">
        <v>0</v>
      </c>
      <c r="AP76" s="578">
        <v>33447.51</v>
      </c>
      <c r="AQ76" s="578">
        <v>8676.8799999999992</v>
      </c>
      <c r="AR76" s="578">
        <v>2218.5500000000002</v>
      </c>
      <c r="AS76" s="578">
        <v>3860.98</v>
      </c>
      <c r="AT76" s="578">
        <v>17730.93</v>
      </c>
      <c r="AU76" s="578">
        <v>3962.11</v>
      </c>
      <c r="AV76" s="578">
        <v>4787.3</v>
      </c>
      <c r="AW76" s="578">
        <v>84943.32</v>
      </c>
      <c r="AX76" s="578">
        <v>42848.19</v>
      </c>
      <c r="AY76" s="578">
        <v>0</v>
      </c>
      <c r="AZ76" s="578">
        <v>16123.71</v>
      </c>
      <c r="BA76" s="578">
        <v>0</v>
      </c>
      <c r="BB76" s="578">
        <v>0</v>
      </c>
      <c r="BC76" s="578">
        <v>58186.32</v>
      </c>
      <c r="BD76" s="578">
        <v>41726.870000000003</v>
      </c>
      <c r="BE76" s="578">
        <v>636.75</v>
      </c>
      <c r="BF76" s="578">
        <v>61016.95</v>
      </c>
      <c r="BG76" s="578">
        <v>0</v>
      </c>
      <c r="BH76" s="578">
        <v>0</v>
      </c>
      <c r="BI76" s="578">
        <v>5303.34</v>
      </c>
      <c r="BJ76" s="578">
        <v>0</v>
      </c>
      <c r="BK76" s="578">
        <v>0</v>
      </c>
      <c r="BL76" s="578">
        <v>0</v>
      </c>
      <c r="BM76" s="578">
        <v>0</v>
      </c>
      <c r="BN76" s="578">
        <v>0</v>
      </c>
      <c r="BO76" s="578">
        <v>10000</v>
      </c>
      <c r="BP76" s="578">
        <v>0</v>
      </c>
      <c r="BQ76" s="578">
        <v>0</v>
      </c>
      <c r="BR76" s="578">
        <v>0</v>
      </c>
      <c r="BS76" s="578">
        <v>0</v>
      </c>
      <c r="BT76" s="578">
        <v>0</v>
      </c>
      <c r="BU76" s="578">
        <v>175282.96</v>
      </c>
      <c r="BV76" s="578">
        <v>0</v>
      </c>
      <c r="BW76" s="578">
        <v>0</v>
      </c>
      <c r="BX76" s="578">
        <v>0</v>
      </c>
      <c r="BY76" s="578">
        <v>0</v>
      </c>
      <c r="BZ76" s="578">
        <v>1133245.29</v>
      </c>
      <c r="CA76" s="578">
        <v>1180130.3</v>
      </c>
      <c r="CB76" s="578">
        <v>0</v>
      </c>
      <c r="CC76" s="578">
        <v>0</v>
      </c>
      <c r="CD76" s="578">
        <v>175282.96</v>
      </c>
    </row>
    <row r="77" spans="1:82" hidden="1" x14ac:dyDescent="0.3">
      <c r="A77" s="574" t="s">
        <v>1662</v>
      </c>
      <c r="B77" s="577">
        <v>3303381</v>
      </c>
      <c r="C77" s="574">
        <f>_xlfn.XLOOKUP(B77,'[1]Blade-Export_15-08-2022_sources'!B:B,'[1]Blade-Export_15-08-2022_sources'!F:F,0,FALSE)</f>
        <v>330</v>
      </c>
      <c r="D77" s="574">
        <f>_xlfn.XLOOKUP($B77,'[1]Blade-Export_15-08-2022_sources'!$B:$B,'[1]Blade-Export_15-08-2022_sources'!G:G,0,FALSE)</f>
        <v>3381</v>
      </c>
      <c r="E77" s="574" t="str">
        <f>_xlfn.XLOOKUP($B77,'[1]Blade-Export_15-08-2022_sources'!$B:$B,'[1]Blade-Export_15-08-2022_sources'!H:H,0,FALSE)</f>
        <v xml:space="preserve">ST ALBANS RC JI </v>
      </c>
      <c r="F77" s="578">
        <v>16406.95</v>
      </c>
      <c r="G77" s="578">
        <v>0</v>
      </c>
      <c r="H77" s="578">
        <v>0</v>
      </c>
      <c r="I77" s="578">
        <v>927776.64</v>
      </c>
      <c r="J77" s="578">
        <v>0</v>
      </c>
      <c r="K77" s="578">
        <v>6000</v>
      </c>
      <c r="L77" s="578">
        <v>0</v>
      </c>
      <c r="M77" s="578">
        <v>80665</v>
      </c>
      <c r="N77" s="578">
        <v>1830.94</v>
      </c>
      <c r="O77" s="578">
        <v>0</v>
      </c>
      <c r="P77" s="578">
        <v>132066.44</v>
      </c>
      <c r="Q77" s="578">
        <v>0</v>
      </c>
      <c r="R77" s="578">
        <v>0</v>
      </c>
      <c r="S77" s="578">
        <v>0</v>
      </c>
      <c r="T77" s="578">
        <v>0</v>
      </c>
      <c r="U77" s="578">
        <v>0</v>
      </c>
      <c r="V77" s="578">
        <v>0</v>
      </c>
      <c r="W77" s="578"/>
      <c r="X77" s="578">
        <v>0</v>
      </c>
      <c r="Y77" s="578">
        <v>0</v>
      </c>
      <c r="Z77" s="578">
        <v>0</v>
      </c>
      <c r="AA77" s="578">
        <v>0</v>
      </c>
      <c r="AB77" s="578">
        <v>6108.44</v>
      </c>
      <c r="AC77" s="578">
        <v>6800</v>
      </c>
      <c r="AD77" s="578">
        <v>46929</v>
      </c>
      <c r="AE77" s="578">
        <v>573951.01</v>
      </c>
      <c r="AF77" s="578">
        <v>0</v>
      </c>
      <c r="AG77" s="578">
        <v>168096.49</v>
      </c>
      <c r="AH77" s="578">
        <v>50207.1</v>
      </c>
      <c r="AI77" s="578">
        <v>53929.31</v>
      </c>
      <c r="AJ77" s="578">
        <v>0</v>
      </c>
      <c r="AK77" s="578">
        <v>25736.23</v>
      </c>
      <c r="AL77" s="578">
        <v>260</v>
      </c>
      <c r="AM77" s="578">
        <v>2217.5700000000002</v>
      </c>
      <c r="AN77" s="578">
        <v>0</v>
      </c>
      <c r="AO77" s="578">
        <v>0</v>
      </c>
      <c r="AP77" s="578">
        <v>28405.1</v>
      </c>
      <c r="AQ77" s="578">
        <v>1781</v>
      </c>
      <c r="AR77" s="578">
        <v>9743.23</v>
      </c>
      <c r="AS77" s="578">
        <v>1304.94</v>
      </c>
      <c r="AT77" s="578">
        <v>11315.19</v>
      </c>
      <c r="AU77" s="578">
        <v>3241.73</v>
      </c>
      <c r="AV77" s="578">
        <v>7844.83</v>
      </c>
      <c r="AW77" s="578">
        <v>102770.27</v>
      </c>
      <c r="AX77" s="578">
        <v>64042.69</v>
      </c>
      <c r="AY77" s="578">
        <v>0</v>
      </c>
      <c r="AZ77" s="578">
        <v>4500</v>
      </c>
      <c r="BA77" s="578">
        <v>4149.93</v>
      </c>
      <c r="BB77" s="578">
        <v>0</v>
      </c>
      <c r="BC77" s="578">
        <v>55355.22</v>
      </c>
      <c r="BD77" s="578">
        <v>5627.98</v>
      </c>
      <c r="BE77" s="578">
        <v>944</v>
      </c>
      <c r="BF77" s="578">
        <v>88538.4</v>
      </c>
      <c r="BG77" s="578">
        <v>0</v>
      </c>
      <c r="BH77" s="578">
        <v>0</v>
      </c>
      <c r="BI77" s="578">
        <v>29406.11</v>
      </c>
      <c r="BJ77" s="578">
        <v>0</v>
      </c>
      <c r="BK77" s="578">
        <v>0</v>
      </c>
      <c r="BL77" s="578">
        <v>0</v>
      </c>
      <c r="BM77" s="578">
        <v>0</v>
      </c>
      <c r="BN77" s="578">
        <v>0</v>
      </c>
      <c r="BO77" s="578">
        <v>10000</v>
      </c>
      <c r="BP77" s="578">
        <v>0</v>
      </c>
      <c r="BQ77" s="578">
        <v>0</v>
      </c>
      <c r="BR77" s="578">
        <v>0</v>
      </c>
      <c r="BS77" s="578">
        <v>0</v>
      </c>
      <c r="BT77" s="578">
        <v>0</v>
      </c>
      <c r="BU77" s="578">
        <v>-68784.92</v>
      </c>
      <c r="BV77" s="578">
        <v>0</v>
      </c>
      <c r="BW77" s="578">
        <v>0</v>
      </c>
      <c r="BX77" s="578">
        <v>0</v>
      </c>
      <c r="BY77" s="578">
        <v>0</v>
      </c>
      <c r="BZ77" s="578">
        <v>1208176.46</v>
      </c>
      <c r="CA77" s="578">
        <v>1293368.33</v>
      </c>
      <c r="CB77" s="578">
        <v>0</v>
      </c>
      <c r="CC77" s="578">
        <v>0</v>
      </c>
      <c r="CD77" s="578">
        <v>-68784.92</v>
      </c>
    </row>
    <row r="78" spans="1:82" hidden="1" x14ac:dyDescent="0.3">
      <c r="A78" s="574" t="s">
        <v>1663</v>
      </c>
      <c r="B78" s="577">
        <v>3303410</v>
      </c>
      <c r="C78" s="574">
        <f>_xlfn.XLOOKUP(B78,'[1]Blade-Export_15-08-2022_sources'!B:B,'[1]Blade-Export_15-08-2022_sources'!F:F,0,FALSE)</f>
        <v>330</v>
      </c>
      <c r="D78" s="574">
        <f>_xlfn.XLOOKUP($B78,'[1]Blade-Export_15-08-2022_sources'!$B:$B,'[1]Blade-Export_15-08-2022_sources'!G:G,0,FALSE)</f>
        <v>3410</v>
      </c>
      <c r="E78" s="574" t="str">
        <f>_xlfn.XLOOKUP($B78,'[1]Blade-Export_15-08-2022_sources'!$B:$B,'[1]Blade-Export_15-08-2022_sources'!H:H,0,FALSE)</f>
        <v xml:space="preserve">ST JOHN &amp; ST MONICA RC JI </v>
      </c>
      <c r="F78" s="578">
        <v>276239.77</v>
      </c>
      <c r="G78" s="578">
        <v>0</v>
      </c>
      <c r="H78" s="578">
        <v>0</v>
      </c>
      <c r="I78" s="578">
        <v>1056137.71</v>
      </c>
      <c r="J78" s="578">
        <v>0</v>
      </c>
      <c r="K78" s="578">
        <v>15434.76</v>
      </c>
      <c r="L78" s="578">
        <v>0</v>
      </c>
      <c r="M78" s="578">
        <v>92805</v>
      </c>
      <c r="N78" s="578">
        <v>2362.5</v>
      </c>
      <c r="O78" s="578">
        <v>0</v>
      </c>
      <c r="P78" s="578">
        <v>41552.959999999999</v>
      </c>
      <c r="Q78" s="578">
        <v>325.39</v>
      </c>
      <c r="R78" s="578">
        <v>0</v>
      </c>
      <c r="S78" s="578">
        <v>0</v>
      </c>
      <c r="T78" s="578">
        <v>0</v>
      </c>
      <c r="U78" s="578">
        <v>4651.47</v>
      </c>
      <c r="V78" s="578">
        <v>0</v>
      </c>
      <c r="W78" s="578"/>
      <c r="X78" s="578">
        <v>0</v>
      </c>
      <c r="Y78" s="578">
        <v>0</v>
      </c>
      <c r="Z78" s="578">
        <v>0</v>
      </c>
      <c r="AA78" s="578">
        <v>0</v>
      </c>
      <c r="AB78" s="578">
        <v>7365</v>
      </c>
      <c r="AC78" s="578">
        <v>6930</v>
      </c>
      <c r="AD78" s="578">
        <v>49097</v>
      </c>
      <c r="AE78" s="578">
        <v>548073.82999999996</v>
      </c>
      <c r="AF78" s="578">
        <v>0</v>
      </c>
      <c r="AG78" s="578">
        <v>169848.22</v>
      </c>
      <c r="AH78" s="578">
        <v>41056.86</v>
      </c>
      <c r="AI78" s="578">
        <v>66791.8</v>
      </c>
      <c r="AJ78" s="578">
        <v>0</v>
      </c>
      <c r="AK78" s="578">
        <v>46157.52</v>
      </c>
      <c r="AL78" s="578">
        <v>14685.1</v>
      </c>
      <c r="AM78" s="578">
        <v>1665</v>
      </c>
      <c r="AN78" s="578">
        <v>0</v>
      </c>
      <c r="AO78" s="578">
        <v>0</v>
      </c>
      <c r="AP78" s="578">
        <v>58728.24</v>
      </c>
      <c r="AQ78" s="578">
        <v>4783.83</v>
      </c>
      <c r="AR78" s="578">
        <v>3144.81</v>
      </c>
      <c r="AS78" s="578">
        <v>1370.14</v>
      </c>
      <c r="AT78" s="578">
        <v>13860.06</v>
      </c>
      <c r="AU78" s="578">
        <v>3730.56</v>
      </c>
      <c r="AV78" s="578">
        <v>4665.29</v>
      </c>
      <c r="AW78" s="578">
        <v>66213.289999999994</v>
      </c>
      <c r="AX78" s="578">
        <v>1045.8399999999999</v>
      </c>
      <c r="AY78" s="578">
        <v>0</v>
      </c>
      <c r="AZ78" s="578">
        <v>18093.13</v>
      </c>
      <c r="BA78" s="578">
        <v>4450</v>
      </c>
      <c r="BB78" s="578">
        <v>0</v>
      </c>
      <c r="BC78" s="578">
        <v>84242.76</v>
      </c>
      <c r="BD78" s="578">
        <v>1125</v>
      </c>
      <c r="BE78" s="578">
        <v>806.75</v>
      </c>
      <c r="BF78" s="578">
        <v>154959.14000000001</v>
      </c>
      <c r="BG78" s="578">
        <v>0</v>
      </c>
      <c r="BH78" s="578">
        <v>0</v>
      </c>
      <c r="BI78" s="578">
        <v>10657.5</v>
      </c>
      <c r="BJ78" s="578">
        <v>0</v>
      </c>
      <c r="BK78" s="578">
        <v>0</v>
      </c>
      <c r="BL78" s="578">
        <v>0</v>
      </c>
      <c r="BM78" s="578">
        <v>0</v>
      </c>
      <c r="BN78" s="578">
        <v>0</v>
      </c>
      <c r="BO78" s="578">
        <v>10000</v>
      </c>
      <c r="BP78" s="578">
        <v>0</v>
      </c>
      <c r="BQ78" s="578">
        <v>0</v>
      </c>
      <c r="BR78" s="578">
        <v>0</v>
      </c>
      <c r="BS78" s="578">
        <v>0</v>
      </c>
      <c r="BT78" s="578">
        <v>0</v>
      </c>
      <c r="BU78" s="578">
        <v>232746.9</v>
      </c>
      <c r="BV78" s="578">
        <v>0</v>
      </c>
      <c r="BW78" s="578">
        <v>0</v>
      </c>
      <c r="BX78" s="578">
        <v>0</v>
      </c>
      <c r="BY78" s="578">
        <v>0</v>
      </c>
      <c r="BZ78" s="578">
        <v>1276661.79</v>
      </c>
      <c r="CA78" s="578">
        <v>1320154.67</v>
      </c>
      <c r="CB78" s="578">
        <v>0</v>
      </c>
      <c r="CC78" s="578">
        <v>0</v>
      </c>
      <c r="CD78" s="578">
        <v>232746.9</v>
      </c>
    </row>
    <row r="79" spans="1:82" hidden="1" x14ac:dyDescent="0.3">
      <c r="A79" s="574" t="s">
        <v>1664</v>
      </c>
      <c r="B79" s="577">
        <v>3307047</v>
      </c>
      <c r="C79" s="574">
        <f>_xlfn.XLOOKUP(B79,'[1]Blade-Export_15-08-2022_sources'!B:B,'[1]Blade-Export_15-08-2022_sources'!F:F,0,FALSE)</f>
        <v>330</v>
      </c>
      <c r="D79" s="574">
        <f>_xlfn.XLOOKUP($B79,'[1]Blade-Export_15-08-2022_sources'!$B:$B,'[1]Blade-Export_15-08-2022_sources'!G:G,0,FALSE)</f>
        <v>7047</v>
      </c>
      <c r="E79" s="574" t="str">
        <f>_xlfn.XLOOKUP($B79,'[1]Blade-Export_15-08-2022_sources'!$B:$B,'[1]Blade-Export_15-08-2022_sources'!H:H,0,FALSE)</f>
        <v>SPRINGFIELD HOUSE Spec</v>
      </c>
      <c r="F79" s="578">
        <v>-77412.17</v>
      </c>
      <c r="G79" s="578">
        <v>0</v>
      </c>
      <c r="H79" s="578">
        <v>27942.47</v>
      </c>
      <c r="I79" s="578">
        <v>2566145.8199999998</v>
      </c>
      <c r="J79" s="578">
        <v>0</v>
      </c>
      <c r="K79" s="578">
        <v>0</v>
      </c>
      <c r="L79" s="578">
        <v>0</v>
      </c>
      <c r="M79" s="578">
        <v>88630</v>
      </c>
      <c r="N79" s="578">
        <v>5397.66</v>
      </c>
      <c r="O79" s="578">
        <v>0</v>
      </c>
      <c r="P79" s="578">
        <v>186396.02</v>
      </c>
      <c r="Q79" s="578">
        <v>0</v>
      </c>
      <c r="R79" s="578">
        <v>125771.28</v>
      </c>
      <c r="S79" s="578">
        <v>0</v>
      </c>
      <c r="T79" s="578">
        <v>0</v>
      </c>
      <c r="U79" s="578">
        <v>1630</v>
      </c>
      <c r="V79" s="578">
        <v>0</v>
      </c>
      <c r="W79" s="578"/>
      <c r="X79" s="578">
        <v>0</v>
      </c>
      <c r="Y79" s="578">
        <v>0</v>
      </c>
      <c r="Z79" s="578">
        <v>0</v>
      </c>
      <c r="AA79" s="578">
        <v>0</v>
      </c>
      <c r="AB79" s="578">
        <v>13807.66</v>
      </c>
      <c r="AC79" s="578">
        <v>9800</v>
      </c>
      <c r="AD79" s="578">
        <v>19368</v>
      </c>
      <c r="AE79" s="578">
        <v>856393.45</v>
      </c>
      <c r="AF79" s="578">
        <v>0</v>
      </c>
      <c r="AG79" s="578">
        <v>717106.61</v>
      </c>
      <c r="AH79" s="578">
        <v>41057.81</v>
      </c>
      <c r="AI79" s="578">
        <v>183221.09</v>
      </c>
      <c r="AJ79" s="578">
        <v>0</v>
      </c>
      <c r="AK79" s="578">
        <v>99119.360000000001</v>
      </c>
      <c r="AL79" s="578">
        <v>3514.7</v>
      </c>
      <c r="AM79" s="578">
        <v>2919</v>
      </c>
      <c r="AN79" s="578">
        <v>0</v>
      </c>
      <c r="AO79" s="578">
        <v>0</v>
      </c>
      <c r="AP79" s="578">
        <v>40615.24</v>
      </c>
      <c r="AQ79" s="578">
        <v>7579.18</v>
      </c>
      <c r="AR79" s="578">
        <v>1986.22</v>
      </c>
      <c r="AS79" s="578">
        <v>3188.14</v>
      </c>
      <c r="AT79" s="578">
        <v>113825.52</v>
      </c>
      <c r="AU79" s="578">
        <v>0</v>
      </c>
      <c r="AV79" s="578">
        <v>10233.58</v>
      </c>
      <c r="AW79" s="578">
        <v>67026.320000000007</v>
      </c>
      <c r="AX79" s="578">
        <v>9616.26</v>
      </c>
      <c r="AY79" s="578">
        <v>0</v>
      </c>
      <c r="AZ79" s="578">
        <v>18724.3</v>
      </c>
      <c r="BA79" s="578">
        <v>2850</v>
      </c>
      <c r="BB79" s="578">
        <v>0</v>
      </c>
      <c r="BC79" s="578">
        <v>24266.23</v>
      </c>
      <c r="BD79" s="578">
        <v>487327.07</v>
      </c>
      <c r="BE79" s="578">
        <v>4636</v>
      </c>
      <c r="BF79" s="578">
        <v>183245.87</v>
      </c>
      <c r="BG79" s="578">
        <v>0</v>
      </c>
      <c r="BH79" s="578">
        <v>0</v>
      </c>
      <c r="BI79" s="578">
        <v>2555.6799999999998</v>
      </c>
      <c r="BJ79" s="578">
        <v>0</v>
      </c>
      <c r="BK79" s="578">
        <v>0</v>
      </c>
      <c r="BL79" s="578">
        <v>8860</v>
      </c>
      <c r="BM79" s="578">
        <v>0</v>
      </c>
      <c r="BN79" s="578">
        <v>0</v>
      </c>
      <c r="BO79" s="578">
        <v>10000</v>
      </c>
      <c r="BP79" s="578">
        <v>0</v>
      </c>
      <c r="BQ79" s="578">
        <v>13525.48</v>
      </c>
      <c r="BR79" s="578">
        <v>0</v>
      </c>
      <c r="BS79" s="578">
        <v>0</v>
      </c>
      <c r="BT79" s="578">
        <v>0</v>
      </c>
      <c r="BU79" s="578">
        <v>58526.64</v>
      </c>
      <c r="BV79" s="578">
        <v>23276.99</v>
      </c>
      <c r="BW79" s="578">
        <v>0</v>
      </c>
      <c r="BX79" s="578">
        <v>0</v>
      </c>
      <c r="BY79" s="578">
        <v>0</v>
      </c>
      <c r="BZ79" s="578">
        <v>3016946.44</v>
      </c>
      <c r="CA79" s="578">
        <v>2881007.63</v>
      </c>
      <c r="CB79" s="578">
        <v>8860</v>
      </c>
      <c r="CC79" s="578">
        <v>13525.48</v>
      </c>
      <c r="CD79" s="578">
        <v>81803.63</v>
      </c>
    </row>
    <row r="80" spans="1:82" hidden="1" x14ac:dyDescent="0.3">
      <c r="A80" s="574" t="s">
        <v>1665</v>
      </c>
      <c r="B80" s="577">
        <v>3302176</v>
      </c>
      <c r="C80" s="574">
        <f>_xlfn.XLOOKUP(B80,'[1]Blade-Export_15-08-2022_sources'!B:B,'[1]Blade-Export_15-08-2022_sources'!F:F,0,FALSE)</f>
        <v>330</v>
      </c>
      <c r="D80" s="574">
        <f>_xlfn.XLOOKUP($B80,'[1]Blade-Export_15-08-2022_sources'!$B:$B,'[1]Blade-Export_15-08-2022_sources'!G:G,0,FALSE)</f>
        <v>2176</v>
      </c>
      <c r="E80" s="574" t="str">
        <f>_xlfn.XLOOKUP($B80,'[1]Blade-Export_15-08-2022_sources'!$B:$B,'[1]Blade-Export_15-08-2022_sources'!H:H,0,FALSE)</f>
        <v>SOMERVILLE JI NC</v>
      </c>
      <c r="F80" s="578">
        <v>274879.94</v>
      </c>
      <c r="G80" s="578">
        <v>0</v>
      </c>
      <c r="H80" s="578">
        <v>24567.42</v>
      </c>
      <c r="I80" s="578">
        <v>3374881.26</v>
      </c>
      <c r="J80" s="578">
        <v>0</v>
      </c>
      <c r="K80" s="578">
        <v>69210.64</v>
      </c>
      <c r="L80" s="578">
        <v>0</v>
      </c>
      <c r="M80" s="578">
        <v>317420</v>
      </c>
      <c r="N80" s="578">
        <v>8091.56</v>
      </c>
      <c r="O80" s="578">
        <v>0</v>
      </c>
      <c r="P80" s="578">
        <v>191256.86</v>
      </c>
      <c r="Q80" s="578">
        <v>331.36</v>
      </c>
      <c r="R80" s="578">
        <v>13267.5</v>
      </c>
      <c r="S80" s="578">
        <v>0</v>
      </c>
      <c r="T80" s="578">
        <v>0</v>
      </c>
      <c r="U80" s="578">
        <v>7764.23</v>
      </c>
      <c r="V80" s="578">
        <v>0</v>
      </c>
      <c r="W80" s="578"/>
      <c r="X80" s="578">
        <v>0</v>
      </c>
      <c r="Y80" s="578">
        <v>0</v>
      </c>
      <c r="Z80" s="578">
        <v>0</v>
      </c>
      <c r="AA80" s="578">
        <v>0</v>
      </c>
      <c r="AB80" s="578">
        <v>26401.56</v>
      </c>
      <c r="AC80" s="578">
        <v>21630</v>
      </c>
      <c r="AD80" s="578">
        <v>102782</v>
      </c>
      <c r="AE80" s="578">
        <v>1645145.91</v>
      </c>
      <c r="AF80" s="578">
        <v>0</v>
      </c>
      <c r="AG80" s="578">
        <v>822864.24</v>
      </c>
      <c r="AH80" s="578">
        <v>88003.839999999997</v>
      </c>
      <c r="AI80" s="578">
        <v>241119.34</v>
      </c>
      <c r="AJ80" s="578">
        <v>146290.57999999999</v>
      </c>
      <c r="AK80" s="578">
        <v>78588.289999999994</v>
      </c>
      <c r="AL80" s="578">
        <v>786.1</v>
      </c>
      <c r="AM80" s="578">
        <v>13668</v>
      </c>
      <c r="AN80" s="578">
        <v>0</v>
      </c>
      <c r="AO80" s="578">
        <v>0</v>
      </c>
      <c r="AP80" s="578">
        <v>66919.839999999997</v>
      </c>
      <c r="AQ80" s="578">
        <v>0</v>
      </c>
      <c r="AR80" s="578">
        <v>26807.16</v>
      </c>
      <c r="AS80" s="578">
        <v>3152.26</v>
      </c>
      <c r="AT80" s="578">
        <v>42850.26</v>
      </c>
      <c r="AU80" s="578">
        <v>60203.519999999997</v>
      </c>
      <c r="AV80" s="578">
        <v>33201.760000000002</v>
      </c>
      <c r="AW80" s="578">
        <v>163251.82</v>
      </c>
      <c r="AX80" s="578">
        <v>44990.78</v>
      </c>
      <c r="AY80" s="578">
        <v>0</v>
      </c>
      <c r="AZ80" s="578">
        <v>52204.19</v>
      </c>
      <c r="BA80" s="578">
        <v>16230</v>
      </c>
      <c r="BB80" s="578">
        <v>0</v>
      </c>
      <c r="BC80" s="578">
        <v>54639.9</v>
      </c>
      <c r="BD80" s="578">
        <v>478644.67</v>
      </c>
      <c r="BE80" s="578">
        <v>13995.96</v>
      </c>
      <c r="BF80" s="578">
        <v>77340.77</v>
      </c>
      <c r="BG80" s="578">
        <v>0</v>
      </c>
      <c r="BH80" s="578">
        <v>0</v>
      </c>
      <c r="BI80" s="578">
        <v>0</v>
      </c>
      <c r="BJ80" s="578">
        <v>0</v>
      </c>
      <c r="BK80" s="578">
        <v>0</v>
      </c>
      <c r="BL80" s="578">
        <v>12002.12</v>
      </c>
      <c r="BM80" s="578">
        <v>0</v>
      </c>
      <c r="BN80" s="578">
        <v>0</v>
      </c>
      <c r="BO80" s="578">
        <v>10000</v>
      </c>
      <c r="BP80" s="578">
        <v>0</v>
      </c>
      <c r="BQ80" s="578">
        <v>0</v>
      </c>
      <c r="BR80" s="578">
        <v>0</v>
      </c>
      <c r="BS80" s="578">
        <v>2847</v>
      </c>
      <c r="BT80" s="578">
        <v>0</v>
      </c>
      <c r="BU80" s="578">
        <v>237017.73</v>
      </c>
      <c r="BV80" s="578">
        <v>33722.54</v>
      </c>
      <c r="BW80" s="578">
        <v>0</v>
      </c>
      <c r="BX80" s="578">
        <v>0</v>
      </c>
      <c r="BY80" s="578">
        <v>0</v>
      </c>
      <c r="BZ80" s="578">
        <v>4133036.97</v>
      </c>
      <c r="CA80" s="578">
        <v>4170899.19</v>
      </c>
      <c r="CB80" s="578">
        <v>12002.12</v>
      </c>
      <c r="CC80" s="578">
        <v>2847</v>
      </c>
      <c r="CD80" s="578">
        <v>270740.27</v>
      </c>
    </row>
    <row r="81" spans="1:82" hidden="1" x14ac:dyDescent="0.3">
      <c r="A81" s="574" t="s">
        <v>1666</v>
      </c>
      <c r="B81" s="577">
        <v>3302174</v>
      </c>
      <c r="C81" s="574">
        <f>_xlfn.XLOOKUP(B81,'[1]Blade-Export_15-08-2022_sources'!B:B,'[1]Blade-Export_15-08-2022_sources'!F:F,0,FALSE)</f>
        <v>330</v>
      </c>
      <c r="D81" s="574">
        <f>_xlfn.XLOOKUP($B81,'[1]Blade-Export_15-08-2022_sources'!$B:$B,'[1]Blade-Export_15-08-2022_sources'!G:G,0,FALSE)</f>
        <v>2174</v>
      </c>
      <c r="E81" s="574" t="str">
        <f>_xlfn.XLOOKUP($B81,'[1]Blade-Export_15-08-2022_sources'!$B:$B,'[1]Blade-Export_15-08-2022_sources'!H:H,0,FALSE)</f>
        <v xml:space="preserve">SLADEFIELD I </v>
      </c>
      <c r="F81" s="578">
        <v>389927.71</v>
      </c>
      <c r="G81" s="578">
        <v>0</v>
      </c>
      <c r="H81" s="578">
        <v>8038.75</v>
      </c>
      <c r="I81" s="578">
        <v>1729774.22</v>
      </c>
      <c r="J81" s="578">
        <v>0</v>
      </c>
      <c r="K81" s="578">
        <v>16784.419999999998</v>
      </c>
      <c r="L81" s="578">
        <v>0</v>
      </c>
      <c r="M81" s="578">
        <v>143915</v>
      </c>
      <c r="N81" s="578">
        <v>15904.76</v>
      </c>
      <c r="O81" s="578">
        <v>0</v>
      </c>
      <c r="P81" s="578">
        <v>274516.15999999997</v>
      </c>
      <c r="Q81" s="578">
        <v>0</v>
      </c>
      <c r="R81" s="578">
        <v>0</v>
      </c>
      <c r="S81" s="578">
        <v>0</v>
      </c>
      <c r="T81" s="578">
        <v>0</v>
      </c>
      <c r="U81" s="578">
        <v>3361.79</v>
      </c>
      <c r="V81" s="578">
        <v>0</v>
      </c>
      <c r="W81" s="578"/>
      <c r="X81" s="578">
        <v>0</v>
      </c>
      <c r="Y81" s="578">
        <v>0</v>
      </c>
      <c r="Z81" s="578">
        <v>0</v>
      </c>
      <c r="AA81" s="578">
        <v>0</v>
      </c>
      <c r="AB81" s="578">
        <v>12265</v>
      </c>
      <c r="AC81" s="578">
        <v>12000</v>
      </c>
      <c r="AD81" s="578">
        <v>123016</v>
      </c>
      <c r="AE81" s="578">
        <v>989723.97</v>
      </c>
      <c r="AF81" s="578">
        <v>0</v>
      </c>
      <c r="AG81" s="578">
        <v>488513.1</v>
      </c>
      <c r="AH81" s="578">
        <v>48904.71</v>
      </c>
      <c r="AI81" s="578">
        <v>144509.54999999999</v>
      </c>
      <c r="AJ81" s="578">
        <v>0</v>
      </c>
      <c r="AK81" s="578">
        <v>80162.759999999995</v>
      </c>
      <c r="AL81" s="578">
        <v>0</v>
      </c>
      <c r="AM81" s="578">
        <v>16827</v>
      </c>
      <c r="AN81" s="578">
        <v>0</v>
      </c>
      <c r="AO81" s="578">
        <v>0</v>
      </c>
      <c r="AP81" s="578">
        <v>68268.22</v>
      </c>
      <c r="AQ81" s="578">
        <v>0</v>
      </c>
      <c r="AR81" s="578">
        <v>33982.400000000001</v>
      </c>
      <c r="AS81" s="578">
        <v>4695.43</v>
      </c>
      <c r="AT81" s="578">
        <v>28781.79</v>
      </c>
      <c r="AU81" s="578">
        <v>19934.43</v>
      </c>
      <c r="AV81" s="578">
        <v>4934.1000000000004</v>
      </c>
      <c r="AW81" s="578">
        <v>135172.01999999999</v>
      </c>
      <c r="AX81" s="578">
        <v>14893.18</v>
      </c>
      <c r="AY81" s="578">
        <v>0</v>
      </c>
      <c r="AZ81" s="578">
        <v>23187.66</v>
      </c>
      <c r="BA81" s="578">
        <v>13680</v>
      </c>
      <c r="BB81" s="578">
        <v>0</v>
      </c>
      <c r="BC81" s="578">
        <v>116383.5</v>
      </c>
      <c r="BD81" s="578">
        <v>108569.78</v>
      </c>
      <c r="BE81" s="578">
        <v>2213</v>
      </c>
      <c r="BF81" s="578">
        <v>58223.33</v>
      </c>
      <c r="BG81" s="578">
        <v>0</v>
      </c>
      <c r="BH81" s="578">
        <v>225.16</v>
      </c>
      <c r="BI81" s="578">
        <v>0</v>
      </c>
      <c r="BJ81" s="578">
        <v>0</v>
      </c>
      <c r="BK81" s="578">
        <v>0</v>
      </c>
      <c r="BL81" s="578">
        <v>8050</v>
      </c>
      <c r="BM81" s="578">
        <v>0</v>
      </c>
      <c r="BN81" s="578">
        <v>0</v>
      </c>
      <c r="BO81" s="578">
        <v>10000</v>
      </c>
      <c r="BP81" s="578">
        <v>0</v>
      </c>
      <c r="BQ81" s="578">
        <v>0</v>
      </c>
      <c r="BR81" s="578">
        <v>0</v>
      </c>
      <c r="BS81" s="578">
        <v>0</v>
      </c>
      <c r="BT81" s="578">
        <v>0</v>
      </c>
      <c r="BU81" s="578">
        <v>319679.96999999997</v>
      </c>
      <c r="BV81" s="578">
        <v>16088.75</v>
      </c>
      <c r="BW81" s="578">
        <v>0</v>
      </c>
      <c r="BX81" s="578">
        <v>0</v>
      </c>
      <c r="BY81" s="578">
        <v>0</v>
      </c>
      <c r="BZ81" s="578">
        <v>2331537.35</v>
      </c>
      <c r="CA81" s="578">
        <v>2401785.09</v>
      </c>
      <c r="CB81" s="578">
        <v>8050</v>
      </c>
      <c r="CC81" s="578">
        <v>0</v>
      </c>
      <c r="CD81" s="578">
        <v>335768.72</v>
      </c>
    </row>
    <row r="82" spans="1:82" hidden="1" x14ac:dyDescent="0.3">
      <c r="A82" s="574" t="s">
        <v>1667</v>
      </c>
      <c r="B82" s="577">
        <v>3307037</v>
      </c>
      <c r="C82" s="574">
        <f>_xlfn.XLOOKUP(B82,'[1]Blade-Export_15-08-2022_sources'!B:B,'[1]Blade-Export_15-08-2022_sources'!F:F,0,FALSE)</f>
        <v>330</v>
      </c>
      <c r="D82" s="574">
        <f>_xlfn.XLOOKUP($B82,'[1]Blade-Export_15-08-2022_sources'!$B:$B,'[1]Blade-Export_15-08-2022_sources'!G:G,0,FALSE)</f>
        <v>7037</v>
      </c>
      <c r="E82" s="574" t="str">
        <f>_xlfn.XLOOKUP($B82,'[1]Blade-Export_15-08-2022_sources'!$B:$B,'[1]Blade-Export_15-08-2022_sources'!H:H,0,FALSE)</f>
        <v>SKILTS Spec</v>
      </c>
      <c r="F82" s="578">
        <v>-361240.12</v>
      </c>
      <c r="G82" s="578">
        <v>0</v>
      </c>
      <c r="H82" s="578">
        <v>30071.4</v>
      </c>
      <c r="I82" s="578">
        <v>670719.91</v>
      </c>
      <c r="J82" s="578">
        <v>0</v>
      </c>
      <c r="K82" s="578">
        <v>0</v>
      </c>
      <c r="L82" s="578">
        <v>0</v>
      </c>
      <c r="M82" s="578">
        <v>35416.67</v>
      </c>
      <c r="N82" s="578">
        <v>0</v>
      </c>
      <c r="O82" s="578">
        <v>0</v>
      </c>
      <c r="P82" s="578">
        <v>566203.63</v>
      </c>
      <c r="Q82" s="578">
        <v>0</v>
      </c>
      <c r="R82" s="578">
        <v>2193.65</v>
      </c>
      <c r="S82" s="578">
        <v>0</v>
      </c>
      <c r="T82" s="578">
        <v>0</v>
      </c>
      <c r="U82" s="578">
        <v>0</v>
      </c>
      <c r="V82" s="578">
        <v>0</v>
      </c>
      <c r="W82" s="578"/>
      <c r="X82" s="578">
        <v>0</v>
      </c>
      <c r="Y82" s="578">
        <v>0</v>
      </c>
      <c r="Z82" s="578">
        <v>0</v>
      </c>
      <c r="AA82" s="578">
        <v>0</v>
      </c>
      <c r="AB82" s="578">
        <v>0</v>
      </c>
      <c r="AC82" s="578">
        <v>6500</v>
      </c>
      <c r="AD82" s="578">
        <v>6921</v>
      </c>
      <c r="AE82" s="578">
        <v>222058.55</v>
      </c>
      <c r="AF82" s="578">
        <v>0</v>
      </c>
      <c r="AG82" s="578">
        <v>146038.56</v>
      </c>
      <c r="AH82" s="578">
        <v>2893.86</v>
      </c>
      <c r="AI82" s="578">
        <v>37209.160000000003</v>
      </c>
      <c r="AJ82" s="578">
        <v>3381.48</v>
      </c>
      <c r="AK82" s="578">
        <v>2367.4499999999998</v>
      </c>
      <c r="AL82" s="578">
        <v>113852.57</v>
      </c>
      <c r="AM82" s="578">
        <v>91.7</v>
      </c>
      <c r="AN82" s="578">
        <v>0</v>
      </c>
      <c r="AO82" s="578">
        <v>0</v>
      </c>
      <c r="AP82" s="578">
        <v>10747.23</v>
      </c>
      <c r="AQ82" s="578">
        <v>822.01</v>
      </c>
      <c r="AR82" s="578">
        <v>1163.9000000000001</v>
      </c>
      <c r="AS82" s="578">
        <v>8573.6</v>
      </c>
      <c r="AT82" s="578">
        <v>8932.7800000000007</v>
      </c>
      <c r="AU82" s="578">
        <v>0</v>
      </c>
      <c r="AV82" s="578">
        <v>7070.63</v>
      </c>
      <c r="AW82" s="578">
        <v>126869.45</v>
      </c>
      <c r="AX82" s="578">
        <v>1517.12</v>
      </c>
      <c r="AY82" s="578">
        <v>0</v>
      </c>
      <c r="AZ82" s="578">
        <v>4547.84</v>
      </c>
      <c r="BA82" s="578">
        <v>0</v>
      </c>
      <c r="BB82" s="578">
        <v>0</v>
      </c>
      <c r="BC82" s="578">
        <v>0</v>
      </c>
      <c r="BD82" s="578">
        <v>137879.18</v>
      </c>
      <c r="BE82" s="578">
        <v>414.6</v>
      </c>
      <c r="BF82" s="578">
        <v>90283.07</v>
      </c>
      <c r="BG82" s="578">
        <v>0</v>
      </c>
      <c r="BH82" s="578">
        <v>0</v>
      </c>
      <c r="BI82" s="578">
        <v>0</v>
      </c>
      <c r="BJ82" s="578">
        <v>0</v>
      </c>
      <c r="BK82" s="578">
        <v>0</v>
      </c>
      <c r="BL82" s="578">
        <v>7088.12</v>
      </c>
      <c r="BM82" s="578">
        <v>0</v>
      </c>
      <c r="BN82" s="578">
        <v>0</v>
      </c>
      <c r="BO82" s="578">
        <v>10000</v>
      </c>
      <c r="BP82" s="578">
        <v>0</v>
      </c>
      <c r="BQ82" s="578">
        <v>0</v>
      </c>
      <c r="BR82" s="578">
        <v>0</v>
      </c>
      <c r="BS82" s="578">
        <v>0</v>
      </c>
      <c r="BT82" s="578">
        <v>0</v>
      </c>
      <c r="BU82" s="578">
        <v>0</v>
      </c>
      <c r="BV82" s="578">
        <v>37159.519999999997</v>
      </c>
      <c r="BW82" s="578">
        <v>0</v>
      </c>
      <c r="BX82" s="578">
        <v>0</v>
      </c>
      <c r="BY82" s="578">
        <v>0</v>
      </c>
      <c r="BZ82" s="578">
        <v>1287954.8600000001</v>
      </c>
      <c r="CA82" s="578">
        <v>926714.74</v>
      </c>
      <c r="CB82" s="578">
        <v>7088.12</v>
      </c>
      <c r="CC82" s="578">
        <v>0</v>
      </c>
      <c r="CD82" s="578">
        <v>37159.519999999997</v>
      </c>
    </row>
    <row r="83" spans="1:82" hidden="1" x14ac:dyDescent="0.3">
      <c r="A83" s="574" t="s">
        <v>1668</v>
      </c>
      <c r="B83" s="577">
        <v>3301038</v>
      </c>
      <c r="C83" s="574">
        <f>_xlfn.XLOOKUP(B83,'[1]Blade-Export_15-08-2022_sources'!B:B,'[1]Blade-Export_15-08-2022_sources'!F:F,0,FALSE)</f>
        <v>330</v>
      </c>
      <c r="D83" s="574">
        <f>_xlfn.XLOOKUP($B83,'[1]Blade-Export_15-08-2022_sources'!$B:$B,'[1]Blade-Export_15-08-2022_sources'!G:G,0,FALSE)</f>
        <v>1038</v>
      </c>
      <c r="E83" s="574" t="str">
        <f>_xlfn.XLOOKUP($B83,'[1]Blade-Export_15-08-2022_sources'!$B:$B,'[1]Blade-Export_15-08-2022_sources'!H:H,0,FALSE)</f>
        <v>SHENLEY FIELDS Nurs</v>
      </c>
      <c r="F83" s="578">
        <v>380551.16</v>
      </c>
      <c r="G83" s="578">
        <v>0</v>
      </c>
      <c r="H83" s="578">
        <v>20721.560000000001</v>
      </c>
      <c r="I83" s="578">
        <v>742366.67</v>
      </c>
      <c r="J83" s="578">
        <v>0</v>
      </c>
      <c r="K83" s="578">
        <v>43185</v>
      </c>
      <c r="L83" s="578">
        <v>0</v>
      </c>
      <c r="M83" s="578">
        <v>0</v>
      </c>
      <c r="N83" s="578">
        <v>0</v>
      </c>
      <c r="O83" s="578">
        <v>0</v>
      </c>
      <c r="P83" s="578">
        <v>104754.59</v>
      </c>
      <c r="Q83" s="578">
        <v>0</v>
      </c>
      <c r="R83" s="578">
        <v>5534.29</v>
      </c>
      <c r="S83" s="578">
        <v>0</v>
      </c>
      <c r="T83" s="578">
        <v>0</v>
      </c>
      <c r="U83" s="578">
        <v>186096.08</v>
      </c>
      <c r="V83" s="578">
        <v>0</v>
      </c>
      <c r="W83" s="578"/>
      <c r="X83" s="578">
        <v>0</v>
      </c>
      <c r="Y83" s="578">
        <v>0</v>
      </c>
      <c r="Z83" s="578">
        <v>0</v>
      </c>
      <c r="AA83" s="578">
        <v>0</v>
      </c>
      <c r="AB83" s="578">
        <v>0</v>
      </c>
      <c r="AC83" s="578">
        <v>0</v>
      </c>
      <c r="AD83" s="578">
        <v>0</v>
      </c>
      <c r="AE83" s="578">
        <v>284868.59000000003</v>
      </c>
      <c r="AF83" s="578">
        <v>91027.64</v>
      </c>
      <c r="AG83" s="578">
        <v>422422.36</v>
      </c>
      <c r="AH83" s="578">
        <v>27437.19</v>
      </c>
      <c r="AI83" s="578">
        <v>149668.76999999999</v>
      </c>
      <c r="AJ83" s="578">
        <v>0</v>
      </c>
      <c r="AK83" s="578">
        <v>0</v>
      </c>
      <c r="AL83" s="578">
        <v>125</v>
      </c>
      <c r="AM83" s="578">
        <v>5766.1</v>
      </c>
      <c r="AN83" s="578">
        <v>0</v>
      </c>
      <c r="AO83" s="578">
        <v>0</v>
      </c>
      <c r="AP83" s="578">
        <v>30382.6</v>
      </c>
      <c r="AQ83" s="578">
        <v>1058.55</v>
      </c>
      <c r="AR83" s="578">
        <v>26665.61</v>
      </c>
      <c r="AS83" s="578">
        <v>253.64</v>
      </c>
      <c r="AT83" s="578">
        <v>495.52</v>
      </c>
      <c r="AU83" s="578">
        <v>14471</v>
      </c>
      <c r="AV83" s="578">
        <v>3057.29</v>
      </c>
      <c r="AW83" s="578">
        <v>21290.45</v>
      </c>
      <c r="AX83" s="578">
        <v>4059.5</v>
      </c>
      <c r="AY83" s="578">
        <v>0</v>
      </c>
      <c r="AZ83" s="578">
        <v>24566.74</v>
      </c>
      <c r="BA83" s="578">
        <v>2850</v>
      </c>
      <c r="BB83" s="578">
        <v>0</v>
      </c>
      <c r="BC83" s="578">
        <v>34785.93</v>
      </c>
      <c r="BD83" s="578">
        <v>0</v>
      </c>
      <c r="BE83" s="578">
        <v>0</v>
      </c>
      <c r="BF83" s="578">
        <v>78198.25</v>
      </c>
      <c r="BG83" s="578">
        <v>0</v>
      </c>
      <c r="BH83" s="578">
        <v>105.37</v>
      </c>
      <c r="BI83" s="578">
        <v>0</v>
      </c>
      <c r="BJ83" s="578">
        <v>0</v>
      </c>
      <c r="BK83" s="578">
        <v>0</v>
      </c>
      <c r="BL83" s="578">
        <v>5363.5</v>
      </c>
      <c r="BM83" s="578">
        <v>0</v>
      </c>
      <c r="BN83" s="578">
        <v>0</v>
      </c>
      <c r="BO83" s="578">
        <v>10000</v>
      </c>
      <c r="BP83" s="578">
        <v>0</v>
      </c>
      <c r="BQ83" s="578">
        <v>0</v>
      </c>
      <c r="BR83" s="578">
        <v>0</v>
      </c>
      <c r="BS83" s="578">
        <v>0</v>
      </c>
      <c r="BT83" s="578">
        <v>0</v>
      </c>
      <c r="BU83" s="578">
        <v>238931.68</v>
      </c>
      <c r="BV83" s="578">
        <v>26085.06</v>
      </c>
      <c r="BW83" s="578">
        <v>0</v>
      </c>
      <c r="BX83" s="578">
        <v>0</v>
      </c>
      <c r="BY83" s="578">
        <v>0</v>
      </c>
      <c r="BZ83" s="578">
        <v>1081936.6299999999</v>
      </c>
      <c r="CA83" s="578">
        <v>1223556.1000000001</v>
      </c>
      <c r="CB83" s="578">
        <v>5363.5</v>
      </c>
      <c r="CC83" s="578">
        <v>0</v>
      </c>
      <c r="CD83" s="578">
        <v>265016.74</v>
      </c>
    </row>
    <row r="84" spans="1:82" hidden="1" x14ac:dyDescent="0.3">
      <c r="A84" s="574" t="s">
        <v>1669</v>
      </c>
      <c r="B84" s="577">
        <v>3302008</v>
      </c>
      <c r="C84" s="574">
        <f>_xlfn.XLOOKUP(B84,'[1]Blade-Export_15-08-2022_sources'!B:B,'[1]Blade-Export_15-08-2022_sources'!F:F,0,FALSE)</f>
        <v>330</v>
      </c>
      <c r="D84" s="574">
        <f>_xlfn.XLOOKUP($B84,'[1]Blade-Export_15-08-2022_sources'!$B:$B,'[1]Blade-Export_15-08-2022_sources'!G:G,0,FALSE)</f>
        <v>2008</v>
      </c>
      <c r="E84" s="574" t="str">
        <f>_xlfn.XLOOKUP($B84,'[1]Blade-Export_15-08-2022_sources'!$B:$B,'[1]Blade-Export_15-08-2022_sources'!H:H,0,FALSE)</f>
        <v>SHAW HILL JI NC</v>
      </c>
      <c r="F84" s="578">
        <v>388990.37</v>
      </c>
      <c r="G84" s="578">
        <v>0</v>
      </c>
      <c r="H84" s="578">
        <v>5962.5</v>
      </c>
      <c r="I84" s="578">
        <v>2277169.4300000002</v>
      </c>
      <c r="J84" s="578">
        <v>0</v>
      </c>
      <c r="K84" s="578">
        <v>21000</v>
      </c>
      <c r="L84" s="578">
        <v>0</v>
      </c>
      <c r="M84" s="578">
        <v>213855</v>
      </c>
      <c r="N84" s="578">
        <v>4961.25</v>
      </c>
      <c r="O84" s="578">
        <v>0</v>
      </c>
      <c r="P84" s="578">
        <v>45819.07</v>
      </c>
      <c r="Q84" s="578">
        <v>488.4</v>
      </c>
      <c r="R84" s="578">
        <v>146.69999999999999</v>
      </c>
      <c r="S84" s="578">
        <v>0</v>
      </c>
      <c r="T84" s="578">
        <v>0</v>
      </c>
      <c r="U84" s="578">
        <v>11.63</v>
      </c>
      <c r="V84" s="578">
        <v>0</v>
      </c>
      <c r="W84" s="578"/>
      <c r="X84" s="578">
        <v>0</v>
      </c>
      <c r="Y84" s="578">
        <v>0</v>
      </c>
      <c r="Z84" s="578">
        <v>0</v>
      </c>
      <c r="AA84" s="578">
        <v>0</v>
      </c>
      <c r="AB84" s="578">
        <v>17688.75</v>
      </c>
      <c r="AC84" s="578">
        <v>13960</v>
      </c>
      <c r="AD84" s="578">
        <v>59392</v>
      </c>
      <c r="AE84" s="578">
        <v>1273421.1000000001</v>
      </c>
      <c r="AF84" s="578">
        <v>0</v>
      </c>
      <c r="AG84" s="578">
        <v>322913.09000000003</v>
      </c>
      <c r="AH84" s="578">
        <v>86280.25</v>
      </c>
      <c r="AI84" s="578">
        <v>168647.08</v>
      </c>
      <c r="AJ84" s="578">
        <v>0</v>
      </c>
      <c r="AK84" s="578">
        <v>47023.37</v>
      </c>
      <c r="AL84" s="578">
        <v>490.5</v>
      </c>
      <c r="AM84" s="578">
        <v>1561.28</v>
      </c>
      <c r="AN84" s="578">
        <v>0</v>
      </c>
      <c r="AO84" s="578">
        <v>0</v>
      </c>
      <c r="AP84" s="578">
        <v>76468.86</v>
      </c>
      <c r="AQ84" s="578">
        <v>1621</v>
      </c>
      <c r="AR84" s="578">
        <v>11700.81</v>
      </c>
      <c r="AS84" s="578">
        <v>1110.43</v>
      </c>
      <c r="AT84" s="578">
        <v>29839.72</v>
      </c>
      <c r="AU84" s="578">
        <v>28043.52</v>
      </c>
      <c r="AV84" s="578">
        <v>11863.53</v>
      </c>
      <c r="AW84" s="578">
        <v>205983.2</v>
      </c>
      <c r="AX84" s="578">
        <v>7314.61</v>
      </c>
      <c r="AY84" s="578">
        <v>0</v>
      </c>
      <c r="AZ84" s="578">
        <v>46932.17</v>
      </c>
      <c r="BA84" s="578">
        <v>8200</v>
      </c>
      <c r="BB84" s="578">
        <v>0</v>
      </c>
      <c r="BC84" s="578">
        <v>1071.43</v>
      </c>
      <c r="BD84" s="578">
        <v>164858.29999999999</v>
      </c>
      <c r="BE84" s="578">
        <v>730</v>
      </c>
      <c r="BF84" s="578">
        <v>198059.75</v>
      </c>
      <c r="BG84" s="578">
        <v>0</v>
      </c>
      <c r="BH84" s="578">
        <v>0</v>
      </c>
      <c r="BI84" s="578">
        <v>0</v>
      </c>
      <c r="BJ84" s="578">
        <v>0</v>
      </c>
      <c r="BK84" s="578">
        <v>0</v>
      </c>
      <c r="BL84" s="578">
        <v>9082.75</v>
      </c>
      <c r="BM84" s="578">
        <v>0</v>
      </c>
      <c r="BN84" s="578">
        <v>0</v>
      </c>
      <c r="BO84" s="578">
        <v>10000</v>
      </c>
      <c r="BP84" s="578">
        <v>0</v>
      </c>
      <c r="BQ84" s="578">
        <v>12509.68</v>
      </c>
      <c r="BR84" s="578">
        <v>0</v>
      </c>
      <c r="BS84" s="578">
        <v>0</v>
      </c>
      <c r="BT84" s="578">
        <v>0</v>
      </c>
      <c r="BU84" s="578">
        <v>349348.61</v>
      </c>
      <c r="BV84" s="578">
        <v>2535.5700000000002</v>
      </c>
      <c r="BW84" s="578">
        <v>0</v>
      </c>
      <c r="BX84" s="578">
        <v>0</v>
      </c>
      <c r="BY84" s="578">
        <v>0</v>
      </c>
      <c r="BZ84" s="578">
        <v>2654492.23</v>
      </c>
      <c r="CA84" s="578">
        <v>2694134</v>
      </c>
      <c r="CB84" s="578">
        <v>9082.75</v>
      </c>
      <c r="CC84" s="578">
        <v>12509.68</v>
      </c>
      <c r="CD84" s="578">
        <v>351884.18</v>
      </c>
    </row>
    <row r="85" spans="1:82" hidden="1" x14ac:dyDescent="0.3">
      <c r="A85" s="574" t="s">
        <v>1670</v>
      </c>
      <c r="B85" s="577">
        <v>3302169</v>
      </c>
      <c r="C85" s="574">
        <f>_xlfn.XLOOKUP(B85,'[1]Blade-Export_15-08-2022_sources'!B:B,'[1]Blade-Export_15-08-2022_sources'!F:F,0,FALSE)</f>
        <v>330</v>
      </c>
      <c r="D85" s="574">
        <f>_xlfn.XLOOKUP($B85,'[1]Blade-Export_15-08-2022_sources'!$B:$B,'[1]Blade-Export_15-08-2022_sources'!G:G,0,FALSE)</f>
        <v>2169</v>
      </c>
      <c r="E85" s="574" t="str">
        <f>_xlfn.XLOOKUP($B85,'[1]Blade-Export_15-08-2022_sources'!$B:$B,'[1]Blade-Export_15-08-2022_sources'!H:H,0,FALSE)</f>
        <v>SEVERNE JI NC</v>
      </c>
      <c r="F85" s="578">
        <v>478212.08</v>
      </c>
      <c r="G85" s="578">
        <v>0</v>
      </c>
      <c r="H85" s="578">
        <v>18567.45</v>
      </c>
      <c r="I85" s="578">
        <v>2096453.87</v>
      </c>
      <c r="J85" s="578">
        <v>0</v>
      </c>
      <c r="K85" s="578">
        <v>23214.01</v>
      </c>
      <c r="L85" s="578">
        <v>0</v>
      </c>
      <c r="M85" s="578">
        <v>322800</v>
      </c>
      <c r="N85" s="578">
        <v>7737.19</v>
      </c>
      <c r="O85" s="578">
        <v>0</v>
      </c>
      <c r="P85" s="578">
        <v>36793.19</v>
      </c>
      <c r="Q85" s="578">
        <v>669.5</v>
      </c>
      <c r="R85" s="578">
        <v>0</v>
      </c>
      <c r="S85" s="578">
        <v>0</v>
      </c>
      <c r="T85" s="578">
        <v>0</v>
      </c>
      <c r="U85" s="578">
        <v>7670</v>
      </c>
      <c r="V85" s="578">
        <v>0</v>
      </c>
      <c r="W85" s="578"/>
      <c r="X85" s="578">
        <v>0</v>
      </c>
      <c r="Y85" s="578">
        <v>0</v>
      </c>
      <c r="Z85" s="578">
        <v>0</v>
      </c>
      <c r="AA85" s="578">
        <v>0</v>
      </c>
      <c r="AB85" s="578">
        <v>26337.19</v>
      </c>
      <c r="AC85" s="578">
        <v>12860</v>
      </c>
      <c r="AD85" s="578">
        <v>36912.5</v>
      </c>
      <c r="AE85" s="578">
        <v>1367025.21</v>
      </c>
      <c r="AF85" s="578">
        <v>51304.03</v>
      </c>
      <c r="AG85" s="578">
        <v>426077.17</v>
      </c>
      <c r="AH85" s="578">
        <v>0</v>
      </c>
      <c r="AI85" s="578">
        <v>188774.72</v>
      </c>
      <c r="AJ85" s="578">
        <v>0</v>
      </c>
      <c r="AK85" s="578">
        <v>49990.58</v>
      </c>
      <c r="AL85" s="578">
        <v>416.8</v>
      </c>
      <c r="AM85" s="578">
        <v>896</v>
      </c>
      <c r="AN85" s="578">
        <v>0</v>
      </c>
      <c r="AO85" s="578">
        <v>0</v>
      </c>
      <c r="AP85" s="578">
        <v>25239.17</v>
      </c>
      <c r="AQ85" s="578">
        <v>0</v>
      </c>
      <c r="AR85" s="578">
        <v>44225.2</v>
      </c>
      <c r="AS85" s="578">
        <v>495.04</v>
      </c>
      <c r="AT85" s="578">
        <v>33472.04</v>
      </c>
      <c r="AU85" s="578">
        <v>28815.360000000001</v>
      </c>
      <c r="AV85" s="578">
        <v>6883.77</v>
      </c>
      <c r="AW85" s="578">
        <v>61299.15</v>
      </c>
      <c r="AX85" s="578">
        <v>13310.47</v>
      </c>
      <c r="AY85" s="578">
        <v>0</v>
      </c>
      <c r="AZ85" s="578">
        <v>18725.29</v>
      </c>
      <c r="BA85" s="578">
        <v>8545.24</v>
      </c>
      <c r="BB85" s="578">
        <v>0</v>
      </c>
      <c r="BC85" s="578">
        <v>6058.92</v>
      </c>
      <c r="BD85" s="578">
        <v>18258.03</v>
      </c>
      <c r="BE85" s="578">
        <v>3581.13</v>
      </c>
      <c r="BF85" s="578">
        <v>216271.96</v>
      </c>
      <c r="BG85" s="578">
        <v>0</v>
      </c>
      <c r="BH85" s="578">
        <v>0</v>
      </c>
      <c r="BI85" s="578">
        <v>0</v>
      </c>
      <c r="BJ85" s="578">
        <v>0</v>
      </c>
      <c r="BK85" s="578">
        <v>0</v>
      </c>
      <c r="BL85" s="578">
        <v>8725</v>
      </c>
      <c r="BM85" s="578">
        <v>0</v>
      </c>
      <c r="BN85" s="578">
        <v>0</v>
      </c>
      <c r="BO85" s="578">
        <v>10000</v>
      </c>
      <c r="BP85" s="578">
        <v>0</v>
      </c>
      <c r="BQ85" s="578">
        <v>9827.19</v>
      </c>
      <c r="BR85" s="578">
        <v>0</v>
      </c>
      <c r="BS85" s="578">
        <v>0</v>
      </c>
      <c r="BT85" s="578">
        <v>0</v>
      </c>
      <c r="BU85" s="578">
        <v>479994.24</v>
      </c>
      <c r="BV85" s="578">
        <v>17465.259999999998</v>
      </c>
      <c r="BW85" s="578">
        <v>0</v>
      </c>
      <c r="BX85" s="578">
        <v>0</v>
      </c>
      <c r="BY85" s="578">
        <v>0</v>
      </c>
      <c r="BZ85" s="578">
        <v>2571447.4500000002</v>
      </c>
      <c r="CA85" s="578">
        <v>2569665.2799999998</v>
      </c>
      <c r="CB85" s="578">
        <v>8725</v>
      </c>
      <c r="CC85" s="578">
        <v>9827.19</v>
      </c>
      <c r="CD85" s="578">
        <v>497459.5</v>
      </c>
    </row>
    <row r="86" spans="1:82" hidden="1" x14ac:dyDescent="0.3">
      <c r="A86" s="574" t="s">
        <v>1671</v>
      </c>
      <c r="B86" s="577">
        <v>3304177</v>
      </c>
      <c r="C86" s="574">
        <f>_xlfn.XLOOKUP(B86,'[1]Blade-Export_15-08-2022_sources'!B:B,'[1]Blade-Export_15-08-2022_sources'!F:F,0,FALSE)</f>
        <v>330</v>
      </c>
      <c r="D86" s="574">
        <f>_xlfn.XLOOKUP($B86,'[1]Blade-Export_15-08-2022_sources'!$B:$B,'[1]Blade-Export_15-08-2022_sources'!G:G,0,FALSE)</f>
        <v>4177</v>
      </c>
      <c r="E86" s="574" t="str">
        <f>_xlfn.XLOOKUP($B86,'[1]Blade-Export_15-08-2022_sources'!$B:$B,'[1]Blade-Export_15-08-2022_sources'!H:H,0,FALSE)</f>
        <v xml:space="preserve">SELLY PARK TECH COLLEGE FOR GIRLS Sec </v>
      </c>
      <c r="F86" s="578">
        <v>853324.16</v>
      </c>
      <c r="G86" s="578">
        <v>0</v>
      </c>
      <c r="H86" s="578">
        <v>15898.95</v>
      </c>
      <c r="I86" s="578">
        <v>4891427.3499999996</v>
      </c>
      <c r="J86" s="578">
        <v>0</v>
      </c>
      <c r="K86" s="578">
        <v>17943.75</v>
      </c>
      <c r="L86" s="578">
        <v>0</v>
      </c>
      <c r="M86" s="578">
        <v>411742</v>
      </c>
      <c r="N86" s="578">
        <v>22701.25</v>
      </c>
      <c r="O86" s="578">
        <v>100000</v>
      </c>
      <c r="P86" s="578">
        <v>16287.74</v>
      </c>
      <c r="Q86" s="578">
        <v>0</v>
      </c>
      <c r="R86" s="578">
        <v>99740.09</v>
      </c>
      <c r="S86" s="578">
        <v>0</v>
      </c>
      <c r="T86" s="578">
        <v>0</v>
      </c>
      <c r="U86" s="578">
        <v>25545.96</v>
      </c>
      <c r="V86" s="578">
        <v>0</v>
      </c>
      <c r="W86" s="578"/>
      <c r="X86" s="578">
        <v>0</v>
      </c>
      <c r="Y86" s="578">
        <v>0</v>
      </c>
      <c r="Z86" s="578">
        <v>0</v>
      </c>
      <c r="AA86" s="578">
        <v>0</v>
      </c>
      <c r="AB86" s="578">
        <v>63059.38</v>
      </c>
      <c r="AC86" s="578">
        <v>24560</v>
      </c>
      <c r="AD86" s="578">
        <v>0</v>
      </c>
      <c r="AE86" s="578">
        <v>3139492.86</v>
      </c>
      <c r="AF86" s="578">
        <v>0</v>
      </c>
      <c r="AG86" s="578">
        <v>216427.17</v>
      </c>
      <c r="AH86" s="578">
        <v>46703</v>
      </c>
      <c r="AI86" s="578">
        <v>496664</v>
      </c>
      <c r="AJ86" s="578">
        <v>60856</v>
      </c>
      <c r="AK86" s="578">
        <v>18837</v>
      </c>
      <c r="AL86" s="578">
        <v>115181.02</v>
      </c>
      <c r="AM86" s="578">
        <v>19357.48</v>
      </c>
      <c r="AN86" s="578">
        <v>0</v>
      </c>
      <c r="AO86" s="578">
        <v>0</v>
      </c>
      <c r="AP86" s="578">
        <v>440616.95</v>
      </c>
      <c r="AQ86" s="578">
        <v>2723.8</v>
      </c>
      <c r="AR86" s="578">
        <v>111186.74</v>
      </c>
      <c r="AS86" s="578">
        <v>18066.330000000002</v>
      </c>
      <c r="AT86" s="578">
        <v>87803.95</v>
      </c>
      <c r="AU86" s="578">
        <v>74096.639999999999</v>
      </c>
      <c r="AV86" s="578">
        <v>21219.49</v>
      </c>
      <c r="AW86" s="578">
        <v>122257.78</v>
      </c>
      <c r="AX86" s="578">
        <v>134154.44</v>
      </c>
      <c r="AY86" s="578">
        <v>33841.75</v>
      </c>
      <c r="AZ86" s="578">
        <v>61686.400000000001</v>
      </c>
      <c r="BA86" s="578">
        <v>17424.2</v>
      </c>
      <c r="BB86" s="578">
        <v>10912.67</v>
      </c>
      <c r="BC86" s="578">
        <v>153257.34</v>
      </c>
      <c r="BD86" s="578">
        <v>52147.89</v>
      </c>
      <c r="BE86" s="578">
        <v>69118.149999999994</v>
      </c>
      <c r="BF86" s="578">
        <v>178703.46</v>
      </c>
      <c r="BG86" s="578">
        <v>0</v>
      </c>
      <c r="BH86" s="578">
        <v>595.47</v>
      </c>
      <c r="BI86" s="578">
        <v>0</v>
      </c>
      <c r="BJ86" s="578">
        <v>0</v>
      </c>
      <c r="BK86" s="578">
        <v>0</v>
      </c>
      <c r="BL86" s="578">
        <v>15829.38</v>
      </c>
      <c r="BM86" s="578">
        <v>0</v>
      </c>
      <c r="BN86" s="578">
        <v>0</v>
      </c>
      <c r="BO86" s="578">
        <v>10000</v>
      </c>
      <c r="BP86" s="578">
        <v>0</v>
      </c>
      <c r="BQ86" s="578">
        <v>0</v>
      </c>
      <c r="BR86" s="578">
        <v>0</v>
      </c>
      <c r="BS86" s="578">
        <v>0</v>
      </c>
      <c r="BT86" s="578">
        <v>0</v>
      </c>
      <c r="BU86" s="578">
        <v>822999.69</v>
      </c>
      <c r="BV86" s="578">
        <v>31728.33</v>
      </c>
      <c r="BW86" s="578">
        <v>0</v>
      </c>
      <c r="BX86" s="578">
        <v>0</v>
      </c>
      <c r="BY86" s="578">
        <v>0</v>
      </c>
      <c r="BZ86" s="578">
        <v>5673007.5199999996</v>
      </c>
      <c r="CA86" s="578">
        <v>5703331.9800000004</v>
      </c>
      <c r="CB86" s="578">
        <v>15829.38</v>
      </c>
      <c r="CC86" s="578">
        <v>0</v>
      </c>
      <c r="CD86" s="578">
        <v>854728.02</v>
      </c>
    </row>
    <row r="87" spans="1:82" hidden="1" x14ac:dyDescent="0.3">
      <c r="A87" s="574" t="s">
        <v>1672</v>
      </c>
      <c r="B87" s="577">
        <v>3307033</v>
      </c>
      <c r="C87" s="574">
        <f>_xlfn.XLOOKUP(B87,'[1]Blade-Export_15-08-2022_sources'!B:B,'[1]Blade-Export_15-08-2022_sources'!F:F,0,FALSE)</f>
        <v>330</v>
      </c>
      <c r="D87" s="574">
        <f>_xlfn.XLOOKUP($B87,'[1]Blade-Export_15-08-2022_sources'!$B:$B,'[1]Blade-Export_15-08-2022_sources'!G:G,0,FALSE)</f>
        <v>7033</v>
      </c>
      <c r="E87" s="574" t="str">
        <f>_xlfn.XLOOKUP($B87,'[1]Blade-Export_15-08-2022_sources'!$B:$B,'[1]Blade-Export_15-08-2022_sources'!H:H,0,FALSE)</f>
        <v>SELLY OAK Spec</v>
      </c>
      <c r="F87" s="578">
        <v>535352.18000000005</v>
      </c>
      <c r="G87" s="578">
        <v>0</v>
      </c>
      <c r="H87" s="578">
        <v>0.5</v>
      </c>
      <c r="I87" s="578">
        <v>5666063.8799999999</v>
      </c>
      <c r="J87" s="578">
        <v>7181.21</v>
      </c>
      <c r="K87" s="578">
        <v>429993</v>
      </c>
      <c r="L87" s="578">
        <v>0</v>
      </c>
      <c r="M87" s="578">
        <v>155665</v>
      </c>
      <c r="N87" s="578">
        <v>15113.44</v>
      </c>
      <c r="O87" s="578">
        <v>0</v>
      </c>
      <c r="P87" s="578">
        <v>690796.32</v>
      </c>
      <c r="Q87" s="578">
        <v>0</v>
      </c>
      <c r="R87" s="578">
        <v>46454.23</v>
      </c>
      <c r="S87" s="578">
        <v>0</v>
      </c>
      <c r="T87" s="578">
        <v>0</v>
      </c>
      <c r="U87" s="578">
        <v>72934.13</v>
      </c>
      <c r="V87" s="578">
        <v>0</v>
      </c>
      <c r="W87" s="578"/>
      <c r="X87" s="578">
        <v>0</v>
      </c>
      <c r="Y87" s="578">
        <v>0</v>
      </c>
      <c r="Z87" s="578">
        <v>0</v>
      </c>
      <c r="AA87" s="578">
        <v>0</v>
      </c>
      <c r="AB87" s="578">
        <v>59788.44</v>
      </c>
      <c r="AC87" s="578">
        <v>38700</v>
      </c>
      <c r="AD87" s="578">
        <v>0</v>
      </c>
      <c r="AE87" s="578">
        <v>2762124.14</v>
      </c>
      <c r="AF87" s="578">
        <v>1423.75</v>
      </c>
      <c r="AG87" s="578">
        <v>1820426.18</v>
      </c>
      <c r="AH87" s="578">
        <v>24227.63</v>
      </c>
      <c r="AI87" s="578">
        <v>1493065.17</v>
      </c>
      <c r="AJ87" s="578">
        <v>46236.28</v>
      </c>
      <c r="AK87" s="578">
        <v>197.95</v>
      </c>
      <c r="AL87" s="578">
        <v>28471.13</v>
      </c>
      <c r="AM87" s="578">
        <v>0</v>
      </c>
      <c r="AN87" s="578">
        <v>0</v>
      </c>
      <c r="AO87" s="578">
        <v>917.36</v>
      </c>
      <c r="AP87" s="578">
        <v>80289.679999999993</v>
      </c>
      <c r="AQ87" s="578">
        <v>937</v>
      </c>
      <c r="AR87" s="578">
        <v>75238.789999999994</v>
      </c>
      <c r="AS87" s="578">
        <v>81.489999999999995</v>
      </c>
      <c r="AT87" s="578">
        <v>64022.03</v>
      </c>
      <c r="AU87" s="578">
        <v>0</v>
      </c>
      <c r="AV87" s="578">
        <v>25261.86</v>
      </c>
      <c r="AW87" s="578">
        <v>93586.880000000005</v>
      </c>
      <c r="AX87" s="578">
        <v>18815.64</v>
      </c>
      <c r="AY87" s="578">
        <v>20383.04</v>
      </c>
      <c r="AZ87" s="578">
        <v>206859.05</v>
      </c>
      <c r="BA87" s="578">
        <v>8200</v>
      </c>
      <c r="BB87" s="578">
        <v>0</v>
      </c>
      <c r="BC87" s="578">
        <v>46942.83</v>
      </c>
      <c r="BD87" s="578">
        <v>41528.730000000003</v>
      </c>
      <c r="BE87" s="578">
        <v>0</v>
      </c>
      <c r="BF87" s="578">
        <v>378618.2</v>
      </c>
      <c r="BG87" s="578">
        <v>0</v>
      </c>
      <c r="BH87" s="578">
        <v>744.44</v>
      </c>
      <c r="BI87" s="578">
        <v>0</v>
      </c>
      <c r="BJ87" s="578">
        <v>0</v>
      </c>
      <c r="BK87" s="578">
        <v>0</v>
      </c>
      <c r="BL87" s="578">
        <v>23035</v>
      </c>
      <c r="BM87" s="578">
        <v>0</v>
      </c>
      <c r="BN87" s="578">
        <v>0</v>
      </c>
      <c r="BO87" s="578">
        <v>10000</v>
      </c>
      <c r="BP87" s="578">
        <v>0</v>
      </c>
      <c r="BQ87" s="578">
        <v>0</v>
      </c>
      <c r="BR87" s="578">
        <v>0</v>
      </c>
      <c r="BS87" s="578">
        <v>0</v>
      </c>
      <c r="BT87" s="578">
        <v>0</v>
      </c>
      <c r="BU87" s="578">
        <v>479442.57</v>
      </c>
      <c r="BV87" s="578">
        <v>23035.5</v>
      </c>
      <c r="BW87" s="578">
        <v>0</v>
      </c>
      <c r="BX87" s="578">
        <v>0</v>
      </c>
      <c r="BY87" s="578">
        <v>0</v>
      </c>
      <c r="BZ87" s="578">
        <v>7182689.6500000004</v>
      </c>
      <c r="CA87" s="578">
        <v>7238599.25</v>
      </c>
      <c r="CB87" s="578">
        <v>23035</v>
      </c>
      <c r="CC87" s="578">
        <v>0</v>
      </c>
      <c r="CD87" s="578">
        <v>502478.07</v>
      </c>
    </row>
    <row r="88" spans="1:82" hidden="1" x14ac:dyDescent="0.3">
      <c r="A88" s="574" t="s">
        <v>1673</v>
      </c>
      <c r="B88" s="577">
        <v>3301018</v>
      </c>
      <c r="C88" s="574">
        <f>_xlfn.XLOOKUP(B88,'[1]Blade-Export_15-08-2022_sources'!B:B,'[1]Blade-Export_15-08-2022_sources'!F:F,0,FALSE)</f>
        <v>330</v>
      </c>
      <c r="D88" s="574">
        <f>_xlfn.XLOOKUP($B88,'[1]Blade-Export_15-08-2022_sources'!$B:$B,'[1]Blade-Export_15-08-2022_sources'!G:G,0,FALSE)</f>
        <v>1018</v>
      </c>
      <c r="E88" s="574" t="str">
        <f>_xlfn.XLOOKUP($B88,'[1]Blade-Export_15-08-2022_sources'!$B:$B,'[1]Blade-Export_15-08-2022_sources'!H:H,0,FALSE)</f>
        <v>RUBERY Nurs</v>
      </c>
      <c r="F88" s="578">
        <v>197047.48</v>
      </c>
      <c r="G88" s="578">
        <v>0</v>
      </c>
      <c r="H88" s="578">
        <v>201.07</v>
      </c>
      <c r="I88" s="578">
        <v>679600.12</v>
      </c>
      <c r="J88" s="578">
        <v>0</v>
      </c>
      <c r="K88" s="578">
        <v>11214.46</v>
      </c>
      <c r="L88" s="578">
        <v>0</v>
      </c>
      <c r="M88" s="578">
        <v>0</v>
      </c>
      <c r="N88" s="578">
        <v>0</v>
      </c>
      <c r="O88" s="578">
        <v>0</v>
      </c>
      <c r="P88" s="578">
        <v>0</v>
      </c>
      <c r="Q88" s="578">
        <v>0</v>
      </c>
      <c r="R88" s="578">
        <v>249.26</v>
      </c>
      <c r="S88" s="578">
        <v>0</v>
      </c>
      <c r="T88" s="578">
        <v>0</v>
      </c>
      <c r="U88" s="578">
        <v>5871.88</v>
      </c>
      <c r="V88" s="578">
        <v>0</v>
      </c>
      <c r="W88" s="578"/>
      <c r="X88" s="578">
        <v>0</v>
      </c>
      <c r="Y88" s="578">
        <v>0</v>
      </c>
      <c r="Z88" s="578">
        <v>0</v>
      </c>
      <c r="AA88" s="578">
        <v>0</v>
      </c>
      <c r="AB88" s="578">
        <v>0</v>
      </c>
      <c r="AC88" s="578">
        <v>0</v>
      </c>
      <c r="AD88" s="578">
        <v>0</v>
      </c>
      <c r="AE88" s="578">
        <v>186790.41</v>
      </c>
      <c r="AF88" s="578">
        <v>0</v>
      </c>
      <c r="AG88" s="578">
        <v>303925.21999999997</v>
      </c>
      <c r="AH88" s="578">
        <v>23243.200000000001</v>
      </c>
      <c r="AI88" s="578">
        <v>83388.69</v>
      </c>
      <c r="AJ88" s="578">
        <v>0</v>
      </c>
      <c r="AK88" s="578">
        <v>87003.61</v>
      </c>
      <c r="AL88" s="578">
        <v>1234.0999999999999</v>
      </c>
      <c r="AM88" s="578">
        <v>3377.6</v>
      </c>
      <c r="AN88" s="578">
        <v>0</v>
      </c>
      <c r="AO88" s="578">
        <v>0</v>
      </c>
      <c r="AP88" s="578">
        <v>44699.53</v>
      </c>
      <c r="AQ88" s="578">
        <v>1581.26</v>
      </c>
      <c r="AR88" s="578">
        <v>21612.82</v>
      </c>
      <c r="AS88" s="578">
        <v>328.13</v>
      </c>
      <c r="AT88" s="578">
        <v>19133.990000000002</v>
      </c>
      <c r="AU88" s="578">
        <v>9730.5</v>
      </c>
      <c r="AV88" s="578">
        <v>0</v>
      </c>
      <c r="AW88" s="578">
        <v>18368.02</v>
      </c>
      <c r="AX88" s="578">
        <v>2382.89</v>
      </c>
      <c r="AY88" s="578">
        <v>0</v>
      </c>
      <c r="AZ88" s="578">
        <v>12343.03</v>
      </c>
      <c r="BA88" s="578">
        <v>2850</v>
      </c>
      <c r="BB88" s="578">
        <v>0</v>
      </c>
      <c r="BC88" s="578">
        <v>11976.92</v>
      </c>
      <c r="BD88" s="578">
        <v>5396.25</v>
      </c>
      <c r="BE88" s="578">
        <v>1398.89</v>
      </c>
      <c r="BF88" s="578">
        <v>67550.48</v>
      </c>
      <c r="BG88" s="578">
        <v>0</v>
      </c>
      <c r="BH88" s="578">
        <v>0</v>
      </c>
      <c r="BI88" s="578">
        <v>0</v>
      </c>
      <c r="BJ88" s="578">
        <v>0</v>
      </c>
      <c r="BK88" s="578">
        <v>0</v>
      </c>
      <c r="BL88" s="578">
        <v>5377</v>
      </c>
      <c r="BM88" s="578">
        <v>0</v>
      </c>
      <c r="BN88" s="578">
        <v>0</v>
      </c>
      <c r="BO88" s="578">
        <v>10000</v>
      </c>
      <c r="BP88" s="578">
        <v>0</v>
      </c>
      <c r="BQ88" s="578">
        <v>0</v>
      </c>
      <c r="BR88" s="578">
        <v>0</v>
      </c>
      <c r="BS88" s="578">
        <v>0</v>
      </c>
      <c r="BT88" s="578">
        <v>0</v>
      </c>
      <c r="BU88" s="578">
        <v>-14332.34</v>
      </c>
      <c r="BV88" s="578">
        <v>5578.07</v>
      </c>
      <c r="BW88" s="578">
        <v>0</v>
      </c>
      <c r="BX88" s="578">
        <v>0</v>
      </c>
      <c r="BY88" s="578">
        <v>0</v>
      </c>
      <c r="BZ88" s="578">
        <v>696935.72</v>
      </c>
      <c r="CA88" s="578">
        <v>908315.54</v>
      </c>
      <c r="CB88" s="578">
        <v>5377</v>
      </c>
      <c r="CC88" s="578">
        <v>0</v>
      </c>
      <c r="CD88" s="578">
        <v>-8754.27</v>
      </c>
    </row>
    <row r="89" spans="1:82" hidden="1" x14ac:dyDescent="0.3">
      <c r="A89" s="574" t="s">
        <v>1674</v>
      </c>
      <c r="B89" s="577">
        <v>3302063</v>
      </c>
      <c r="C89" s="574">
        <f>_xlfn.XLOOKUP(B89,'[1]Blade-Export_15-08-2022_sources'!B:B,'[1]Blade-Export_15-08-2022_sources'!F:F,0,FALSE)</f>
        <v>330</v>
      </c>
      <c r="D89" s="574">
        <f>_xlfn.XLOOKUP($B89,'[1]Blade-Export_15-08-2022_sources'!$B:$B,'[1]Blade-Export_15-08-2022_sources'!G:G,0,FALSE)</f>
        <v>2063</v>
      </c>
      <c r="E89" s="574" t="str">
        <f>_xlfn.XLOOKUP($B89,'[1]Blade-Export_15-08-2022_sources'!$B:$B,'[1]Blade-Export_15-08-2022_sources'!H:H,0,FALSE)</f>
        <v>REGENTS PARK JI NC</v>
      </c>
      <c r="F89" s="578">
        <v>312718.58</v>
      </c>
      <c r="G89" s="578">
        <v>0</v>
      </c>
      <c r="H89" s="578">
        <v>53534.3</v>
      </c>
      <c r="I89" s="578">
        <v>2898565.69</v>
      </c>
      <c r="J89" s="578">
        <v>0</v>
      </c>
      <c r="K89" s="578">
        <v>27054.87</v>
      </c>
      <c r="L89" s="578">
        <v>0</v>
      </c>
      <c r="M89" s="578">
        <v>380635</v>
      </c>
      <c r="N89" s="578">
        <v>9331.8799999999992</v>
      </c>
      <c r="O89" s="578">
        <v>0</v>
      </c>
      <c r="P89" s="578">
        <v>16547</v>
      </c>
      <c r="Q89" s="578">
        <v>284.63</v>
      </c>
      <c r="R89" s="578">
        <v>0</v>
      </c>
      <c r="S89" s="578">
        <v>0</v>
      </c>
      <c r="T89" s="578">
        <v>0</v>
      </c>
      <c r="U89" s="578">
        <v>3640.86</v>
      </c>
      <c r="V89" s="578">
        <v>0</v>
      </c>
      <c r="W89" s="578"/>
      <c r="X89" s="578">
        <v>0</v>
      </c>
      <c r="Y89" s="578">
        <v>0</v>
      </c>
      <c r="Z89" s="578">
        <v>0</v>
      </c>
      <c r="AA89" s="578">
        <v>0</v>
      </c>
      <c r="AB89" s="578">
        <v>29849.38</v>
      </c>
      <c r="AC89" s="578">
        <v>17960</v>
      </c>
      <c r="AD89" s="578">
        <v>53393</v>
      </c>
      <c r="AE89" s="578">
        <v>1799023.05</v>
      </c>
      <c r="AF89" s="578">
        <v>0</v>
      </c>
      <c r="AG89" s="578">
        <v>383490</v>
      </c>
      <c r="AH89" s="578">
        <v>130648.36</v>
      </c>
      <c r="AI89" s="578">
        <v>287912.49</v>
      </c>
      <c r="AJ89" s="578">
        <v>79479.11</v>
      </c>
      <c r="AK89" s="578">
        <v>121165.48</v>
      </c>
      <c r="AL89" s="578">
        <v>1048.8800000000001</v>
      </c>
      <c r="AM89" s="578">
        <v>18857</v>
      </c>
      <c r="AN89" s="578">
        <v>0</v>
      </c>
      <c r="AO89" s="578">
        <v>0</v>
      </c>
      <c r="AP89" s="578">
        <v>29764.09</v>
      </c>
      <c r="AQ89" s="578">
        <v>1378.19</v>
      </c>
      <c r="AR89" s="578">
        <v>5251.44</v>
      </c>
      <c r="AS89" s="578">
        <v>17934.46</v>
      </c>
      <c r="AT89" s="578">
        <v>38100.89</v>
      </c>
      <c r="AU89" s="578">
        <v>55057.919999999998</v>
      </c>
      <c r="AV89" s="578">
        <v>12776.1</v>
      </c>
      <c r="AW89" s="578">
        <v>160234.57999999999</v>
      </c>
      <c r="AX89" s="578">
        <v>34968.379999999997</v>
      </c>
      <c r="AY89" s="578">
        <v>0</v>
      </c>
      <c r="AZ89" s="578">
        <v>28130.560000000001</v>
      </c>
      <c r="BA89" s="578">
        <v>11758.97</v>
      </c>
      <c r="BB89" s="578">
        <v>0</v>
      </c>
      <c r="BC89" s="578">
        <v>64203.63</v>
      </c>
      <c r="BD89" s="578">
        <v>21601.64</v>
      </c>
      <c r="BE89" s="578">
        <v>995</v>
      </c>
      <c r="BF89" s="578">
        <v>242605.41</v>
      </c>
      <c r="BG89" s="578">
        <v>0</v>
      </c>
      <c r="BH89" s="578">
        <v>0</v>
      </c>
      <c r="BI89" s="578">
        <v>0</v>
      </c>
      <c r="BJ89" s="578">
        <v>0</v>
      </c>
      <c r="BK89" s="578">
        <v>0</v>
      </c>
      <c r="BL89" s="578">
        <v>10770.25</v>
      </c>
      <c r="BM89" s="578">
        <v>0</v>
      </c>
      <c r="BN89" s="578">
        <v>0</v>
      </c>
      <c r="BO89" s="578">
        <v>10000</v>
      </c>
      <c r="BP89" s="578">
        <v>0</v>
      </c>
      <c r="BQ89" s="578">
        <v>34309.620000000003</v>
      </c>
      <c r="BR89" s="578">
        <v>0</v>
      </c>
      <c r="BS89" s="578">
        <v>0</v>
      </c>
      <c r="BT89" s="578">
        <v>0</v>
      </c>
      <c r="BU89" s="578">
        <v>203595.25</v>
      </c>
      <c r="BV89" s="578">
        <v>29994.93</v>
      </c>
      <c r="BW89" s="578">
        <v>0</v>
      </c>
      <c r="BX89" s="578">
        <v>0</v>
      </c>
      <c r="BY89" s="578">
        <v>0</v>
      </c>
      <c r="BZ89" s="578">
        <v>3437262.31</v>
      </c>
      <c r="CA89" s="578">
        <v>3546385.63</v>
      </c>
      <c r="CB89" s="578">
        <v>10770.25</v>
      </c>
      <c r="CC89" s="578">
        <v>34309.620000000003</v>
      </c>
      <c r="CD89" s="578">
        <v>233590.18</v>
      </c>
    </row>
    <row r="90" spans="1:82" hidden="1" x14ac:dyDescent="0.3">
      <c r="A90" s="574" t="s">
        <v>1675</v>
      </c>
      <c r="B90" s="577">
        <v>3302160</v>
      </c>
      <c r="C90" s="574">
        <f>_xlfn.XLOOKUP(B90,'[1]Blade-Export_15-08-2022_sources'!B:B,'[1]Blade-Export_15-08-2022_sources'!F:F,0,FALSE)</f>
        <v>330</v>
      </c>
      <c r="D90" s="574">
        <f>_xlfn.XLOOKUP($B90,'[1]Blade-Export_15-08-2022_sources'!$B:$B,'[1]Blade-Export_15-08-2022_sources'!G:G,0,FALSE)</f>
        <v>2160</v>
      </c>
      <c r="E90" s="574" t="str">
        <f>_xlfn.XLOOKUP($B90,'[1]Blade-Export_15-08-2022_sources'!$B:$B,'[1]Blade-Export_15-08-2022_sources'!H:H,0,FALSE)</f>
        <v xml:space="preserve">REDNAL HILL J </v>
      </c>
      <c r="F90" s="578">
        <v>178037.24</v>
      </c>
      <c r="G90" s="578">
        <v>0</v>
      </c>
      <c r="H90" s="578">
        <v>7948.19</v>
      </c>
      <c r="I90" s="578">
        <v>1740139.21</v>
      </c>
      <c r="J90" s="578">
        <v>0</v>
      </c>
      <c r="K90" s="578">
        <v>19880.25</v>
      </c>
      <c r="L90" s="578">
        <v>0</v>
      </c>
      <c r="M90" s="578">
        <v>271275</v>
      </c>
      <c r="N90" s="578">
        <v>7146.56</v>
      </c>
      <c r="O90" s="578">
        <v>0</v>
      </c>
      <c r="P90" s="578">
        <v>55534.59</v>
      </c>
      <c r="Q90" s="578">
        <v>249.25</v>
      </c>
      <c r="R90" s="578">
        <v>49.99</v>
      </c>
      <c r="S90" s="578">
        <v>0</v>
      </c>
      <c r="T90" s="578">
        <v>0</v>
      </c>
      <c r="U90" s="578">
        <v>27864.45</v>
      </c>
      <c r="V90" s="578">
        <v>0</v>
      </c>
      <c r="W90" s="578"/>
      <c r="X90" s="578">
        <v>0</v>
      </c>
      <c r="Y90" s="578">
        <v>0</v>
      </c>
      <c r="Z90" s="578">
        <v>0</v>
      </c>
      <c r="AA90" s="578">
        <v>0</v>
      </c>
      <c r="AB90" s="578">
        <v>24821.96</v>
      </c>
      <c r="AC90" s="578">
        <v>11800</v>
      </c>
      <c r="AD90" s="578">
        <v>20566</v>
      </c>
      <c r="AE90" s="578">
        <v>991197.28</v>
      </c>
      <c r="AF90" s="578">
        <v>0</v>
      </c>
      <c r="AG90" s="578">
        <v>287432.44</v>
      </c>
      <c r="AH90" s="578">
        <v>30259.55</v>
      </c>
      <c r="AI90" s="578">
        <v>205427</v>
      </c>
      <c r="AJ90" s="578">
        <v>0</v>
      </c>
      <c r="AK90" s="578">
        <v>50119.31</v>
      </c>
      <c r="AL90" s="578">
        <v>2299.5</v>
      </c>
      <c r="AM90" s="578">
        <v>18912.599999999999</v>
      </c>
      <c r="AN90" s="578">
        <v>0</v>
      </c>
      <c r="AO90" s="578">
        <v>0</v>
      </c>
      <c r="AP90" s="578">
        <v>28841.4</v>
      </c>
      <c r="AQ90" s="578">
        <v>3349.5</v>
      </c>
      <c r="AR90" s="578">
        <v>2536.15</v>
      </c>
      <c r="AS90" s="578">
        <v>0</v>
      </c>
      <c r="AT90" s="578">
        <v>14489.77</v>
      </c>
      <c r="AU90" s="578">
        <v>25586.5</v>
      </c>
      <c r="AV90" s="578">
        <v>6328.45</v>
      </c>
      <c r="AW90" s="578">
        <v>124900.48</v>
      </c>
      <c r="AX90" s="578">
        <v>15342.59</v>
      </c>
      <c r="AY90" s="578">
        <v>0</v>
      </c>
      <c r="AZ90" s="578">
        <v>72821.89</v>
      </c>
      <c r="BA90" s="578">
        <v>8200</v>
      </c>
      <c r="BB90" s="578">
        <v>0</v>
      </c>
      <c r="BC90" s="578">
        <v>84595.49</v>
      </c>
      <c r="BD90" s="578">
        <v>57802.61</v>
      </c>
      <c r="BE90" s="578">
        <v>2889.91</v>
      </c>
      <c r="BF90" s="578">
        <v>65415.4</v>
      </c>
      <c r="BG90" s="578">
        <v>0</v>
      </c>
      <c r="BH90" s="578">
        <v>0</v>
      </c>
      <c r="BI90" s="578">
        <v>0</v>
      </c>
      <c r="BJ90" s="578">
        <v>0</v>
      </c>
      <c r="BK90" s="578">
        <v>0</v>
      </c>
      <c r="BL90" s="578">
        <v>7948.75</v>
      </c>
      <c r="BM90" s="578">
        <v>0</v>
      </c>
      <c r="BN90" s="578">
        <v>0</v>
      </c>
      <c r="BO90" s="578">
        <v>10000</v>
      </c>
      <c r="BP90" s="578">
        <v>0</v>
      </c>
      <c r="BQ90" s="578">
        <v>0</v>
      </c>
      <c r="BR90" s="578">
        <v>0</v>
      </c>
      <c r="BS90" s="578">
        <v>4550</v>
      </c>
      <c r="BT90" s="578">
        <v>0</v>
      </c>
      <c r="BU90" s="578">
        <v>258616.68</v>
      </c>
      <c r="BV90" s="578">
        <v>11346.94</v>
      </c>
      <c r="BW90" s="578">
        <v>0</v>
      </c>
      <c r="BX90" s="578">
        <v>0</v>
      </c>
      <c r="BY90" s="578">
        <v>0</v>
      </c>
      <c r="BZ90" s="578">
        <v>2179327.2599999998</v>
      </c>
      <c r="CA90" s="578">
        <v>2098747.8199999998</v>
      </c>
      <c r="CB90" s="578">
        <v>7948.75</v>
      </c>
      <c r="CC90" s="578">
        <v>4550</v>
      </c>
      <c r="CD90" s="578">
        <v>269963.62</v>
      </c>
    </row>
    <row r="91" spans="1:82" hidden="1" x14ac:dyDescent="0.3">
      <c r="A91" s="574" t="s">
        <v>1676</v>
      </c>
      <c r="B91" s="577">
        <v>3302161</v>
      </c>
      <c r="C91" s="574">
        <f>_xlfn.XLOOKUP(B91,'[1]Blade-Export_15-08-2022_sources'!B:B,'[1]Blade-Export_15-08-2022_sources'!F:F,0,FALSE)</f>
        <v>330</v>
      </c>
      <c r="D91" s="574">
        <f>_xlfn.XLOOKUP($B91,'[1]Blade-Export_15-08-2022_sources'!$B:$B,'[1]Blade-Export_15-08-2022_sources'!G:G,0,FALSE)</f>
        <v>2161</v>
      </c>
      <c r="E91" s="574" t="str">
        <f>_xlfn.XLOOKUP($B91,'[1]Blade-Export_15-08-2022_sources'!$B:$B,'[1]Blade-Export_15-08-2022_sources'!H:H,0,FALSE)</f>
        <v>REDNAL HILL I NC</v>
      </c>
      <c r="F91" s="578">
        <v>286941.87</v>
      </c>
      <c r="G91" s="578">
        <v>0</v>
      </c>
      <c r="H91" s="578">
        <v>21733.84</v>
      </c>
      <c r="I91" s="578">
        <v>1467730.24</v>
      </c>
      <c r="J91" s="578">
        <v>0</v>
      </c>
      <c r="K91" s="578">
        <v>8265.83</v>
      </c>
      <c r="L91" s="578">
        <v>0</v>
      </c>
      <c r="M91" s="578">
        <v>175125</v>
      </c>
      <c r="N91" s="578">
        <v>3307.5</v>
      </c>
      <c r="O91" s="578">
        <v>0</v>
      </c>
      <c r="P91" s="578">
        <v>2016.31</v>
      </c>
      <c r="Q91" s="578">
        <v>379.74</v>
      </c>
      <c r="R91" s="578">
        <v>0</v>
      </c>
      <c r="S91" s="578">
        <v>0</v>
      </c>
      <c r="T91" s="578">
        <v>0</v>
      </c>
      <c r="U91" s="578">
        <v>2274.27</v>
      </c>
      <c r="V91" s="578">
        <v>0</v>
      </c>
      <c r="W91" s="578"/>
      <c r="X91" s="578">
        <v>0</v>
      </c>
      <c r="Y91" s="578">
        <v>0</v>
      </c>
      <c r="Z91" s="578">
        <v>0</v>
      </c>
      <c r="AA91" s="578">
        <v>0</v>
      </c>
      <c r="AB91" s="578">
        <v>13860</v>
      </c>
      <c r="AC91" s="578">
        <v>8930</v>
      </c>
      <c r="AD91" s="578">
        <v>72982</v>
      </c>
      <c r="AE91" s="578">
        <v>804045.81</v>
      </c>
      <c r="AF91" s="578">
        <v>0</v>
      </c>
      <c r="AG91" s="578">
        <v>270849.53999999998</v>
      </c>
      <c r="AH91" s="578">
        <v>30259.69</v>
      </c>
      <c r="AI91" s="578">
        <v>128323.21</v>
      </c>
      <c r="AJ91" s="578">
        <v>0</v>
      </c>
      <c r="AK91" s="578">
        <v>136768.16</v>
      </c>
      <c r="AL91" s="578">
        <v>638.6</v>
      </c>
      <c r="AM91" s="578">
        <v>5932</v>
      </c>
      <c r="AN91" s="578">
        <v>0</v>
      </c>
      <c r="AO91" s="578">
        <v>0</v>
      </c>
      <c r="AP91" s="578">
        <v>27841.85</v>
      </c>
      <c r="AQ91" s="578">
        <v>1996.2</v>
      </c>
      <c r="AR91" s="578">
        <v>4252.67</v>
      </c>
      <c r="AS91" s="578">
        <v>3000.13</v>
      </c>
      <c r="AT91" s="578">
        <v>20783.63</v>
      </c>
      <c r="AU91" s="578">
        <v>13777.34</v>
      </c>
      <c r="AV91" s="578">
        <v>3254.38</v>
      </c>
      <c r="AW91" s="578">
        <v>55212.17</v>
      </c>
      <c r="AX91" s="578">
        <v>6286.15</v>
      </c>
      <c r="AY91" s="578">
        <v>0</v>
      </c>
      <c r="AZ91" s="578">
        <v>11884.27</v>
      </c>
      <c r="BA91" s="578">
        <v>5352</v>
      </c>
      <c r="BB91" s="578">
        <v>0</v>
      </c>
      <c r="BC91" s="578">
        <v>88939.27</v>
      </c>
      <c r="BD91" s="578">
        <v>73110.55</v>
      </c>
      <c r="BE91" s="578">
        <v>1757.6</v>
      </c>
      <c r="BF91" s="578">
        <v>75923.89</v>
      </c>
      <c r="BG91" s="578">
        <v>0</v>
      </c>
      <c r="BH91" s="578">
        <v>0</v>
      </c>
      <c r="BI91" s="578">
        <v>0</v>
      </c>
      <c r="BJ91" s="578">
        <v>0</v>
      </c>
      <c r="BK91" s="578">
        <v>0</v>
      </c>
      <c r="BL91" s="578">
        <v>7276</v>
      </c>
      <c r="BM91" s="578">
        <v>0</v>
      </c>
      <c r="BN91" s="578">
        <v>0</v>
      </c>
      <c r="BO91" s="578">
        <v>10000</v>
      </c>
      <c r="BP91" s="578">
        <v>0</v>
      </c>
      <c r="BQ91" s="578">
        <v>11002</v>
      </c>
      <c r="BR91" s="578">
        <v>0</v>
      </c>
      <c r="BS91" s="578">
        <v>0</v>
      </c>
      <c r="BT91" s="578">
        <v>0</v>
      </c>
      <c r="BU91" s="578">
        <v>271623.65000000002</v>
      </c>
      <c r="BV91" s="578">
        <v>18007.84</v>
      </c>
      <c r="BW91" s="578">
        <v>0</v>
      </c>
      <c r="BX91" s="578">
        <v>0</v>
      </c>
      <c r="BY91" s="578">
        <v>0</v>
      </c>
      <c r="BZ91" s="578">
        <v>1754870.89</v>
      </c>
      <c r="CA91" s="578">
        <v>1770189.11</v>
      </c>
      <c r="CB91" s="578">
        <v>7276</v>
      </c>
      <c r="CC91" s="578">
        <v>11002</v>
      </c>
      <c r="CD91" s="578">
        <v>289631.49</v>
      </c>
    </row>
    <row r="92" spans="1:82" hidden="1" x14ac:dyDescent="0.3">
      <c r="A92" s="574" t="s">
        <v>1677</v>
      </c>
      <c r="B92" s="577">
        <v>3302159</v>
      </c>
      <c r="C92" s="574">
        <f>_xlfn.XLOOKUP(B92,'[1]Blade-Export_15-08-2022_sources'!B:B,'[1]Blade-Export_15-08-2022_sources'!F:F,0,FALSE)</f>
        <v>330</v>
      </c>
      <c r="D92" s="574">
        <f>_xlfn.XLOOKUP($B92,'[1]Blade-Export_15-08-2022_sources'!$B:$B,'[1]Blade-Export_15-08-2022_sources'!G:G,0,FALSE)</f>
        <v>2159</v>
      </c>
      <c r="E92" s="574" t="str">
        <f>_xlfn.XLOOKUP($B92,'[1]Blade-Export_15-08-2022_sources'!$B:$B,'[1]Blade-Export_15-08-2022_sources'!H:H,0,FALSE)</f>
        <v>REDHILL JI NC</v>
      </c>
      <c r="F92" s="578">
        <v>-125451.62</v>
      </c>
      <c r="G92" s="578">
        <v>0</v>
      </c>
      <c r="H92" s="578">
        <v>-0.17</v>
      </c>
      <c r="I92" s="578">
        <v>1075940.3</v>
      </c>
      <c r="J92" s="578">
        <v>0</v>
      </c>
      <c r="K92" s="578">
        <v>16240.58</v>
      </c>
      <c r="L92" s="578">
        <v>0</v>
      </c>
      <c r="M92" s="578">
        <v>103565</v>
      </c>
      <c r="N92" s="578">
        <v>2421.56</v>
      </c>
      <c r="O92" s="578">
        <v>0</v>
      </c>
      <c r="P92" s="578">
        <v>10215.33</v>
      </c>
      <c r="Q92" s="578">
        <v>0</v>
      </c>
      <c r="R92" s="578">
        <v>0</v>
      </c>
      <c r="S92" s="578">
        <v>0</v>
      </c>
      <c r="T92" s="578">
        <v>0</v>
      </c>
      <c r="U92" s="578">
        <v>0</v>
      </c>
      <c r="V92" s="578">
        <v>0</v>
      </c>
      <c r="W92" s="578"/>
      <c r="X92" s="578">
        <v>0</v>
      </c>
      <c r="Y92" s="578">
        <v>0</v>
      </c>
      <c r="Z92" s="578">
        <v>0</v>
      </c>
      <c r="AA92" s="578">
        <v>0</v>
      </c>
      <c r="AB92" s="578">
        <v>8004.06</v>
      </c>
      <c r="AC92" s="578">
        <v>6730</v>
      </c>
      <c r="AD92" s="578">
        <v>34629</v>
      </c>
      <c r="AE92" s="578">
        <v>575047.53</v>
      </c>
      <c r="AF92" s="578">
        <v>9884</v>
      </c>
      <c r="AG92" s="578">
        <v>244682.47</v>
      </c>
      <c r="AH92" s="578">
        <v>0</v>
      </c>
      <c r="AI92" s="578">
        <v>99843.28</v>
      </c>
      <c r="AJ92" s="578">
        <v>0</v>
      </c>
      <c r="AK92" s="578">
        <v>32995.67</v>
      </c>
      <c r="AL92" s="578">
        <v>79.5</v>
      </c>
      <c r="AM92" s="578">
        <v>935</v>
      </c>
      <c r="AN92" s="578">
        <v>0</v>
      </c>
      <c r="AO92" s="578">
        <v>0</v>
      </c>
      <c r="AP92" s="578">
        <v>9600.77</v>
      </c>
      <c r="AQ92" s="578">
        <v>461.53</v>
      </c>
      <c r="AR92" s="578">
        <v>18045.650000000001</v>
      </c>
      <c r="AS92" s="578">
        <v>1639.09</v>
      </c>
      <c r="AT92" s="578">
        <v>18461.93</v>
      </c>
      <c r="AU92" s="578">
        <v>16173.21</v>
      </c>
      <c r="AV92" s="578">
        <v>3813.9</v>
      </c>
      <c r="AW92" s="578">
        <v>14856.06</v>
      </c>
      <c r="AX92" s="578">
        <v>13054.15</v>
      </c>
      <c r="AY92" s="578">
        <v>0</v>
      </c>
      <c r="AZ92" s="578">
        <v>9504.89</v>
      </c>
      <c r="BA92" s="578">
        <v>4450</v>
      </c>
      <c r="BB92" s="578">
        <v>0</v>
      </c>
      <c r="BC92" s="578">
        <v>80053.710000000006</v>
      </c>
      <c r="BD92" s="578">
        <v>22830.6</v>
      </c>
      <c r="BE92" s="578">
        <v>995</v>
      </c>
      <c r="BF92" s="578">
        <v>49489.37</v>
      </c>
      <c r="BG92" s="578">
        <v>0</v>
      </c>
      <c r="BH92" s="578">
        <v>0</v>
      </c>
      <c r="BI92" s="578">
        <v>9270</v>
      </c>
      <c r="BJ92" s="578">
        <v>0</v>
      </c>
      <c r="BK92" s="578">
        <v>0</v>
      </c>
      <c r="BL92" s="578">
        <v>6362.5</v>
      </c>
      <c r="BM92" s="578">
        <v>0</v>
      </c>
      <c r="BN92" s="578">
        <v>0</v>
      </c>
      <c r="BO92" s="578">
        <v>10000</v>
      </c>
      <c r="BP92" s="578">
        <v>0</v>
      </c>
      <c r="BQ92" s="578">
        <v>1419</v>
      </c>
      <c r="BR92" s="578">
        <v>0</v>
      </c>
      <c r="BS92" s="578">
        <v>0</v>
      </c>
      <c r="BT92" s="578">
        <v>0</v>
      </c>
      <c r="BU92" s="578">
        <v>-103873.09</v>
      </c>
      <c r="BV92" s="578">
        <v>4943.33</v>
      </c>
      <c r="BW92" s="578">
        <v>0</v>
      </c>
      <c r="BX92" s="578">
        <v>0</v>
      </c>
      <c r="BY92" s="578">
        <v>0</v>
      </c>
      <c r="BZ92" s="578">
        <v>1257745.83</v>
      </c>
      <c r="CA92" s="578">
        <v>1236167.31</v>
      </c>
      <c r="CB92" s="578">
        <v>6362.5</v>
      </c>
      <c r="CC92" s="578">
        <v>1419</v>
      </c>
      <c r="CD92" s="578">
        <v>-98929.76</v>
      </c>
    </row>
    <row r="93" spans="1:82" hidden="1" x14ac:dyDescent="0.3">
      <c r="A93" s="574" t="s">
        <v>1678</v>
      </c>
      <c r="B93" s="577">
        <v>3302157</v>
      </c>
      <c r="C93" s="574">
        <f>_xlfn.XLOOKUP(B93,'[1]Blade-Export_15-08-2022_sources'!B:B,'[1]Blade-Export_15-08-2022_sources'!F:F,0,FALSE)</f>
        <v>330</v>
      </c>
      <c r="D93" s="574">
        <f>_xlfn.XLOOKUP($B93,'[1]Blade-Export_15-08-2022_sources'!$B:$B,'[1]Blade-Export_15-08-2022_sources'!G:G,0,FALSE)</f>
        <v>2157</v>
      </c>
      <c r="E93" s="574" t="str">
        <f>_xlfn.XLOOKUP($B93,'[1]Blade-Export_15-08-2022_sources'!$B:$B,'[1]Blade-Export_15-08-2022_sources'!H:H,0,FALSE)</f>
        <v>RADDLEBARN JI NC</v>
      </c>
      <c r="F93" s="578">
        <v>57691.32</v>
      </c>
      <c r="G93" s="578">
        <v>0</v>
      </c>
      <c r="H93" s="578">
        <v>2290.41</v>
      </c>
      <c r="I93" s="578">
        <v>1813941.96</v>
      </c>
      <c r="J93" s="578">
        <v>0</v>
      </c>
      <c r="K93" s="578">
        <v>1600</v>
      </c>
      <c r="L93" s="578">
        <v>0</v>
      </c>
      <c r="M93" s="578">
        <v>129705</v>
      </c>
      <c r="N93" s="578">
        <v>2953.13</v>
      </c>
      <c r="O93" s="578">
        <v>0</v>
      </c>
      <c r="P93" s="578">
        <v>171398.56</v>
      </c>
      <c r="Q93" s="578">
        <v>0</v>
      </c>
      <c r="R93" s="578">
        <v>1246.68</v>
      </c>
      <c r="S93" s="578">
        <v>0</v>
      </c>
      <c r="T93" s="578">
        <v>0</v>
      </c>
      <c r="U93" s="578">
        <v>598.95000000000005</v>
      </c>
      <c r="V93" s="578">
        <v>0</v>
      </c>
      <c r="W93" s="578"/>
      <c r="X93" s="578">
        <v>0</v>
      </c>
      <c r="Y93" s="578">
        <v>0</v>
      </c>
      <c r="Z93" s="578">
        <v>0</v>
      </c>
      <c r="AA93" s="578">
        <v>0</v>
      </c>
      <c r="AB93" s="578">
        <v>10895.63</v>
      </c>
      <c r="AC93" s="578">
        <v>12830</v>
      </c>
      <c r="AD93" s="578">
        <v>71628.5</v>
      </c>
      <c r="AE93" s="578">
        <v>1131180.79</v>
      </c>
      <c r="AF93" s="578">
        <v>0</v>
      </c>
      <c r="AG93" s="578">
        <v>244632.16</v>
      </c>
      <c r="AH93" s="578">
        <v>51683.45</v>
      </c>
      <c r="AI93" s="578">
        <v>151249.59</v>
      </c>
      <c r="AJ93" s="578">
        <v>0</v>
      </c>
      <c r="AK93" s="578">
        <v>61534.33</v>
      </c>
      <c r="AL93" s="578">
        <v>2940.85</v>
      </c>
      <c r="AM93" s="578">
        <v>2035.62</v>
      </c>
      <c r="AN93" s="578">
        <v>0</v>
      </c>
      <c r="AO93" s="578">
        <v>0</v>
      </c>
      <c r="AP93" s="578">
        <v>82485.45</v>
      </c>
      <c r="AQ93" s="578">
        <v>126.45</v>
      </c>
      <c r="AR93" s="578">
        <v>5780.13</v>
      </c>
      <c r="AS93" s="578">
        <v>1922.16</v>
      </c>
      <c r="AT93" s="578">
        <v>36851.79</v>
      </c>
      <c r="AU93" s="578">
        <v>26757.119999999999</v>
      </c>
      <c r="AV93" s="578">
        <v>3507.25</v>
      </c>
      <c r="AW93" s="578">
        <v>132712.47</v>
      </c>
      <c r="AX93" s="578">
        <v>6950.2</v>
      </c>
      <c r="AY93" s="578">
        <v>0</v>
      </c>
      <c r="AZ93" s="578">
        <v>43186.080000000002</v>
      </c>
      <c r="BA93" s="578">
        <v>8941.82</v>
      </c>
      <c r="BB93" s="578">
        <v>0</v>
      </c>
      <c r="BC93" s="578">
        <v>81866.38</v>
      </c>
      <c r="BD93" s="578">
        <v>90358.68</v>
      </c>
      <c r="BE93" s="578">
        <v>3277</v>
      </c>
      <c r="BF93" s="578">
        <v>97932.55</v>
      </c>
      <c r="BG93" s="578">
        <v>0</v>
      </c>
      <c r="BH93" s="578">
        <v>0</v>
      </c>
      <c r="BI93" s="578">
        <v>34739.5</v>
      </c>
      <c r="BJ93" s="578">
        <v>0</v>
      </c>
      <c r="BK93" s="578">
        <v>0</v>
      </c>
      <c r="BL93" s="578">
        <v>8725</v>
      </c>
      <c r="BM93" s="578">
        <v>0</v>
      </c>
      <c r="BN93" s="578">
        <v>0</v>
      </c>
      <c r="BO93" s="578">
        <v>10000</v>
      </c>
      <c r="BP93" s="578">
        <v>0</v>
      </c>
      <c r="BQ93" s="578">
        <v>4752</v>
      </c>
      <c r="BR93" s="578">
        <v>0</v>
      </c>
      <c r="BS93" s="578">
        <v>0</v>
      </c>
      <c r="BT93" s="578">
        <v>0</v>
      </c>
      <c r="BU93" s="578">
        <v>-28162.09</v>
      </c>
      <c r="BV93" s="578">
        <v>6263.41</v>
      </c>
      <c r="BW93" s="578">
        <v>0</v>
      </c>
      <c r="BX93" s="578">
        <v>0</v>
      </c>
      <c r="BY93" s="578">
        <v>0</v>
      </c>
      <c r="BZ93" s="578">
        <v>2216798.41</v>
      </c>
      <c r="CA93" s="578">
        <v>2302651.8199999998</v>
      </c>
      <c r="CB93" s="578">
        <v>8725</v>
      </c>
      <c r="CC93" s="578">
        <v>4752</v>
      </c>
      <c r="CD93" s="578">
        <v>-21898.68</v>
      </c>
    </row>
    <row r="94" spans="1:82" hidden="1" x14ac:dyDescent="0.3">
      <c r="A94" s="574" t="s">
        <v>1679</v>
      </c>
      <c r="B94" s="577">
        <v>3304173</v>
      </c>
      <c r="C94" s="574">
        <f>_xlfn.XLOOKUP(B94,'[1]Blade-Export_15-08-2022_sources'!B:B,'[1]Blade-Export_15-08-2022_sources'!F:F,0,FALSE)</f>
        <v>330</v>
      </c>
      <c r="D94" s="574">
        <f>_xlfn.XLOOKUP($B94,'[1]Blade-Export_15-08-2022_sources'!$B:$B,'[1]Blade-Export_15-08-2022_sources'!G:G,0,FALSE)</f>
        <v>4173</v>
      </c>
      <c r="E94" s="574" t="str">
        <f>_xlfn.XLOOKUP($B94,'[1]Blade-Export_15-08-2022_sources'!$B:$B,'[1]Blade-Export_15-08-2022_sources'!H:H,0,FALSE)</f>
        <v xml:space="preserve">QUEENSBRIDGE Sec </v>
      </c>
      <c r="F94" s="578">
        <v>1114297.22</v>
      </c>
      <c r="G94" s="578">
        <v>0</v>
      </c>
      <c r="H94" s="578">
        <v>0.8</v>
      </c>
      <c r="I94" s="578">
        <v>5727304.2400000002</v>
      </c>
      <c r="J94" s="578">
        <v>0</v>
      </c>
      <c r="K94" s="578">
        <v>125512.94</v>
      </c>
      <c r="L94" s="578">
        <v>0</v>
      </c>
      <c r="M94" s="578">
        <v>314820</v>
      </c>
      <c r="N94" s="578">
        <v>27980.31</v>
      </c>
      <c r="O94" s="578">
        <v>0</v>
      </c>
      <c r="P94" s="578">
        <v>405407.96</v>
      </c>
      <c r="Q94" s="578">
        <v>0</v>
      </c>
      <c r="R94" s="578">
        <v>102121.22</v>
      </c>
      <c r="S94" s="578">
        <v>0</v>
      </c>
      <c r="T94" s="578">
        <v>0</v>
      </c>
      <c r="U94" s="578">
        <v>60586.5</v>
      </c>
      <c r="V94" s="578">
        <v>0</v>
      </c>
      <c r="W94" s="578"/>
      <c r="X94" s="578">
        <v>0</v>
      </c>
      <c r="Y94" s="578">
        <v>0</v>
      </c>
      <c r="Z94" s="578">
        <v>0</v>
      </c>
      <c r="AA94" s="578">
        <v>0</v>
      </c>
      <c r="AB94" s="578">
        <v>61372.81</v>
      </c>
      <c r="AC94" s="578">
        <v>29460</v>
      </c>
      <c r="AD94" s="578">
        <v>6300</v>
      </c>
      <c r="AE94" s="578">
        <v>3490339.48</v>
      </c>
      <c r="AF94" s="578">
        <v>0</v>
      </c>
      <c r="AG94" s="578">
        <v>953121.82</v>
      </c>
      <c r="AH94" s="578">
        <v>124009.86</v>
      </c>
      <c r="AI94" s="578">
        <v>377940.72</v>
      </c>
      <c r="AJ94" s="578">
        <v>0</v>
      </c>
      <c r="AK94" s="578">
        <v>53351.32</v>
      </c>
      <c r="AL94" s="578">
        <v>5421.66</v>
      </c>
      <c r="AM94" s="578">
        <v>9950.4500000000007</v>
      </c>
      <c r="AN94" s="578">
        <v>0</v>
      </c>
      <c r="AO94" s="578">
        <v>0</v>
      </c>
      <c r="AP94" s="578">
        <v>395060.46</v>
      </c>
      <c r="AQ94" s="578">
        <v>16225.12</v>
      </c>
      <c r="AR94" s="578">
        <v>130759.07</v>
      </c>
      <c r="AS94" s="578">
        <v>17192.669999999998</v>
      </c>
      <c r="AT94" s="578">
        <v>119816.12</v>
      </c>
      <c r="AU94" s="578">
        <v>77948.41</v>
      </c>
      <c r="AV94" s="578">
        <v>17555.689999999999</v>
      </c>
      <c r="AW94" s="578">
        <v>195019.15</v>
      </c>
      <c r="AX94" s="578">
        <v>168356.47</v>
      </c>
      <c r="AY94" s="578">
        <v>45825.26</v>
      </c>
      <c r="AZ94" s="578">
        <v>97375.7</v>
      </c>
      <c r="BA94" s="578">
        <v>23732.79</v>
      </c>
      <c r="BB94" s="578">
        <v>142337.64000000001</v>
      </c>
      <c r="BC94" s="578">
        <v>168413.35</v>
      </c>
      <c r="BD94" s="578">
        <v>6410</v>
      </c>
      <c r="BE94" s="578">
        <v>750</v>
      </c>
      <c r="BF94" s="578">
        <v>289049.74</v>
      </c>
      <c r="BG94" s="578">
        <v>0</v>
      </c>
      <c r="BH94" s="578">
        <v>723.41</v>
      </c>
      <c r="BI94" s="578">
        <v>200392.06</v>
      </c>
      <c r="BJ94" s="578">
        <v>0</v>
      </c>
      <c r="BK94" s="578">
        <v>0</v>
      </c>
      <c r="BL94" s="578">
        <v>18520.939999999999</v>
      </c>
      <c r="BM94" s="578">
        <v>0</v>
      </c>
      <c r="BN94" s="578">
        <v>0</v>
      </c>
      <c r="BO94" s="578">
        <v>10000</v>
      </c>
      <c r="BP94" s="578">
        <v>0</v>
      </c>
      <c r="BQ94" s="578">
        <v>0</v>
      </c>
      <c r="BR94" s="578">
        <v>0</v>
      </c>
      <c r="BS94" s="578">
        <v>0</v>
      </c>
      <c r="BT94" s="578">
        <v>0</v>
      </c>
      <c r="BU94" s="578">
        <v>848084.8</v>
      </c>
      <c r="BV94" s="578">
        <v>18521.740000000002</v>
      </c>
      <c r="BW94" s="578">
        <v>0</v>
      </c>
      <c r="BX94" s="578">
        <v>0</v>
      </c>
      <c r="BY94" s="578">
        <v>0</v>
      </c>
      <c r="BZ94" s="578">
        <v>6860865.9800000004</v>
      </c>
      <c r="CA94" s="578">
        <v>7127078.4199999999</v>
      </c>
      <c r="CB94" s="578">
        <v>18520.939999999999</v>
      </c>
      <c r="CC94" s="578">
        <v>0</v>
      </c>
      <c r="CD94" s="578">
        <v>866606.54</v>
      </c>
    </row>
    <row r="95" spans="1:82" hidden="1" x14ac:dyDescent="0.3">
      <c r="A95" s="574" t="s">
        <v>1680</v>
      </c>
      <c r="B95" s="577">
        <v>3307034</v>
      </c>
      <c r="C95" s="574">
        <f>_xlfn.XLOOKUP(B95,'[1]Blade-Export_15-08-2022_sources'!B:B,'[1]Blade-Export_15-08-2022_sources'!F:F,0,FALSE)</f>
        <v>330</v>
      </c>
      <c r="D95" s="574">
        <f>_xlfn.XLOOKUP($B95,'[1]Blade-Export_15-08-2022_sources'!$B:$B,'[1]Blade-Export_15-08-2022_sources'!G:G,0,FALSE)</f>
        <v>7034</v>
      </c>
      <c r="E95" s="574" t="str">
        <f>_xlfn.XLOOKUP($B95,'[1]Blade-Export_15-08-2022_sources'!$B:$B,'[1]Blade-Export_15-08-2022_sources'!H:H,0,FALSE)</f>
        <v>PRIESTLEY SMITH Spec</v>
      </c>
      <c r="F95" s="578">
        <v>124113.61</v>
      </c>
      <c r="G95" s="578">
        <v>0</v>
      </c>
      <c r="H95" s="578">
        <v>14201.51</v>
      </c>
      <c r="I95" s="578">
        <v>1943595.48</v>
      </c>
      <c r="J95" s="578">
        <v>1098.31</v>
      </c>
      <c r="K95" s="578">
        <v>0</v>
      </c>
      <c r="L95" s="578">
        <v>0</v>
      </c>
      <c r="M95" s="578">
        <v>40445</v>
      </c>
      <c r="N95" s="578">
        <v>12144.38</v>
      </c>
      <c r="O95" s="578">
        <v>0</v>
      </c>
      <c r="P95" s="578">
        <v>293636.45</v>
      </c>
      <c r="Q95" s="578">
        <v>173.76</v>
      </c>
      <c r="R95" s="578">
        <v>339978.34</v>
      </c>
      <c r="S95" s="578">
        <v>0</v>
      </c>
      <c r="T95" s="578">
        <v>0</v>
      </c>
      <c r="U95" s="578">
        <v>0</v>
      </c>
      <c r="V95" s="578">
        <v>0</v>
      </c>
      <c r="W95" s="578"/>
      <c r="X95" s="578">
        <v>0</v>
      </c>
      <c r="Y95" s="578">
        <v>0</v>
      </c>
      <c r="Z95" s="578">
        <v>0</v>
      </c>
      <c r="AA95" s="578">
        <v>0</v>
      </c>
      <c r="AB95" s="578">
        <v>20759.38</v>
      </c>
      <c r="AC95" s="578">
        <v>8600</v>
      </c>
      <c r="AD95" s="578">
        <v>18558</v>
      </c>
      <c r="AE95" s="578">
        <v>1019487.51</v>
      </c>
      <c r="AF95" s="578">
        <v>0</v>
      </c>
      <c r="AG95" s="578">
        <v>643769.34</v>
      </c>
      <c r="AH95" s="578">
        <v>0</v>
      </c>
      <c r="AI95" s="578">
        <v>231201.24</v>
      </c>
      <c r="AJ95" s="578">
        <v>0</v>
      </c>
      <c r="AK95" s="578">
        <v>47052.87</v>
      </c>
      <c r="AL95" s="578">
        <v>4237.51</v>
      </c>
      <c r="AM95" s="578">
        <v>7134</v>
      </c>
      <c r="AN95" s="578">
        <v>0</v>
      </c>
      <c r="AO95" s="578">
        <v>0</v>
      </c>
      <c r="AP95" s="578">
        <v>0</v>
      </c>
      <c r="AQ95" s="578">
        <v>0</v>
      </c>
      <c r="AR95" s="578">
        <v>0</v>
      </c>
      <c r="AS95" s="578">
        <v>0</v>
      </c>
      <c r="AT95" s="578">
        <v>9435.1200000000008</v>
      </c>
      <c r="AU95" s="578">
        <v>0</v>
      </c>
      <c r="AV95" s="578">
        <v>5985.84</v>
      </c>
      <c r="AW95" s="578">
        <v>32235.74</v>
      </c>
      <c r="AX95" s="578">
        <v>14686.28</v>
      </c>
      <c r="AY95" s="578">
        <v>1829.69</v>
      </c>
      <c r="AZ95" s="578">
        <v>293258.2</v>
      </c>
      <c r="BA95" s="578">
        <v>2850</v>
      </c>
      <c r="BB95" s="578">
        <v>0</v>
      </c>
      <c r="BC95" s="578">
        <v>16966.849999999999</v>
      </c>
      <c r="BD95" s="578">
        <v>23522.15</v>
      </c>
      <c r="BE95" s="578">
        <v>2557.0100000000002</v>
      </c>
      <c r="BF95" s="578">
        <v>137743.45000000001</v>
      </c>
      <c r="BG95" s="578">
        <v>0</v>
      </c>
      <c r="BH95" s="578">
        <v>0</v>
      </c>
      <c r="BI95" s="578">
        <v>24482</v>
      </c>
      <c r="BJ95" s="578">
        <v>0</v>
      </c>
      <c r="BK95" s="578">
        <v>0</v>
      </c>
      <c r="BL95" s="578">
        <v>8313.25</v>
      </c>
      <c r="BM95" s="578">
        <v>0</v>
      </c>
      <c r="BN95" s="578">
        <v>0</v>
      </c>
      <c r="BO95" s="578">
        <v>10000</v>
      </c>
      <c r="BP95" s="578">
        <v>0</v>
      </c>
      <c r="BQ95" s="578">
        <v>12445.02</v>
      </c>
      <c r="BR95" s="578">
        <v>0</v>
      </c>
      <c r="BS95" s="578">
        <v>0</v>
      </c>
      <c r="BT95" s="578">
        <v>0</v>
      </c>
      <c r="BU95" s="578">
        <v>284667.90999999997</v>
      </c>
      <c r="BV95" s="578">
        <v>10069.74</v>
      </c>
      <c r="BW95" s="578">
        <v>0</v>
      </c>
      <c r="BX95" s="578">
        <v>0</v>
      </c>
      <c r="BY95" s="578">
        <v>0</v>
      </c>
      <c r="BZ95" s="578">
        <v>2678989.1</v>
      </c>
      <c r="CA95" s="578">
        <v>2518434.7999999998</v>
      </c>
      <c r="CB95" s="578">
        <v>8313.25</v>
      </c>
      <c r="CC95" s="578">
        <v>12445.02</v>
      </c>
      <c r="CD95" s="578">
        <v>294737.65000000002</v>
      </c>
    </row>
    <row r="96" spans="1:82" hidden="1" x14ac:dyDescent="0.3">
      <c r="A96" s="574" t="s">
        <v>1681</v>
      </c>
      <c r="B96" s="577">
        <v>3302097</v>
      </c>
      <c r="C96" s="574">
        <f>_xlfn.XLOOKUP(B96,'[1]Blade-Export_15-08-2022_sources'!B:B,'[1]Blade-Export_15-08-2022_sources'!F:F,0,FALSE)</f>
        <v>330</v>
      </c>
      <c r="D96" s="574">
        <f>_xlfn.XLOOKUP($B96,'[1]Blade-Export_15-08-2022_sources'!$B:$B,'[1]Blade-Export_15-08-2022_sources'!G:G,0,FALSE)</f>
        <v>2097</v>
      </c>
      <c r="E96" s="574" t="str">
        <f>_xlfn.XLOOKUP($B96,'[1]Blade-Export_15-08-2022_sources'!$B:$B,'[1]Blade-Export_15-08-2022_sources'!H:H,0,FALSE)</f>
        <v>STORY WOOD SCHOOL AND CHILDREN'S CENTRE  JI NC</v>
      </c>
      <c r="F96" s="578">
        <v>453840.49</v>
      </c>
      <c r="G96" s="578">
        <v>0</v>
      </c>
      <c r="H96" s="578">
        <v>38849.29</v>
      </c>
      <c r="I96" s="578">
        <v>1362006.06</v>
      </c>
      <c r="J96" s="578">
        <v>0</v>
      </c>
      <c r="K96" s="578">
        <v>30432.33</v>
      </c>
      <c r="L96" s="578">
        <v>0</v>
      </c>
      <c r="M96" s="578">
        <v>142845</v>
      </c>
      <c r="N96" s="578">
        <v>3425.63</v>
      </c>
      <c r="O96" s="578">
        <v>0</v>
      </c>
      <c r="P96" s="578">
        <v>540732.31000000006</v>
      </c>
      <c r="Q96" s="578">
        <v>483.35</v>
      </c>
      <c r="R96" s="578">
        <v>0</v>
      </c>
      <c r="S96" s="578">
        <v>0</v>
      </c>
      <c r="T96" s="578">
        <v>0</v>
      </c>
      <c r="U96" s="578">
        <v>243.2</v>
      </c>
      <c r="V96" s="578">
        <v>0</v>
      </c>
      <c r="W96" s="578"/>
      <c r="X96" s="578">
        <v>0</v>
      </c>
      <c r="Y96" s="578">
        <v>0</v>
      </c>
      <c r="Z96" s="578">
        <v>0</v>
      </c>
      <c r="AA96" s="578">
        <v>0</v>
      </c>
      <c r="AB96" s="578">
        <v>10893.13</v>
      </c>
      <c r="AC96" s="578">
        <v>6960</v>
      </c>
      <c r="AD96" s="578">
        <v>40411</v>
      </c>
      <c r="AE96" s="578">
        <v>883775.74</v>
      </c>
      <c r="AF96" s="578">
        <v>0</v>
      </c>
      <c r="AG96" s="578">
        <v>124413.67</v>
      </c>
      <c r="AH96" s="578">
        <v>112429.52</v>
      </c>
      <c r="AI96" s="578">
        <v>128873.27</v>
      </c>
      <c r="AJ96" s="578">
        <v>0</v>
      </c>
      <c r="AK96" s="578">
        <v>21620.81</v>
      </c>
      <c r="AL96" s="578">
        <v>3005.61</v>
      </c>
      <c r="AM96" s="578">
        <v>12032.6</v>
      </c>
      <c r="AN96" s="578">
        <v>0</v>
      </c>
      <c r="AO96" s="578">
        <v>0</v>
      </c>
      <c r="AP96" s="578">
        <v>68740.37</v>
      </c>
      <c r="AQ96" s="578">
        <v>1349.02</v>
      </c>
      <c r="AR96" s="578">
        <v>4016.33</v>
      </c>
      <c r="AS96" s="578">
        <v>4207.9799999999996</v>
      </c>
      <c r="AT96" s="578">
        <v>30918.45</v>
      </c>
      <c r="AU96" s="578">
        <v>16925.46</v>
      </c>
      <c r="AV96" s="578">
        <v>7538.19</v>
      </c>
      <c r="AW96" s="578">
        <v>53172.93</v>
      </c>
      <c r="AX96" s="578">
        <v>75776.23</v>
      </c>
      <c r="AY96" s="578">
        <v>0</v>
      </c>
      <c r="AZ96" s="578">
        <v>474331.47</v>
      </c>
      <c r="BA96" s="578">
        <v>4750</v>
      </c>
      <c r="BB96" s="578">
        <v>0</v>
      </c>
      <c r="BC96" s="578">
        <v>62145.62</v>
      </c>
      <c r="BD96" s="578">
        <v>11272</v>
      </c>
      <c r="BE96" s="578">
        <v>4924.54</v>
      </c>
      <c r="BF96" s="578">
        <v>140316.76999999999</v>
      </c>
      <c r="BG96" s="578">
        <v>0</v>
      </c>
      <c r="BH96" s="578">
        <v>0</v>
      </c>
      <c r="BI96" s="578">
        <v>0</v>
      </c>
      <c r="BJ96" s="578">
        <v>0</v>
      </c>
      <c r="BK96" s="578">
        <v>0</v>
      </c>
      <c r="BL96" s="578">
        <v>6553.75</v>
      </c>
      <c r="BM96" s="578">
        <v>0</v>
      </c>
      <c r="BN96" s="578">
        <v>0</v>
      </c>
      <c r="BO96" s="578">
        <v>10000</v>
      </c>
      <c r="BP96" s="578">
        <v>0</v>
      </c>
      <c r="BQ96" s="578">
        <v>0</v>
      </c>
      <c r="BR96" s="578">
        <v>0</v>
      </c>
      <c r="BS96" s="578">
        <v>0</v>
      </c>
      <c r="BT96" s="578">
        <v>0</v>
      </c>
      <c r="BU96" s="578">
        <v>345735.91</v>
      </c>
      <c r="BV96" s="578">
        <v>45403.040000000001</v>
      </c>
      <c r="BW96" s="578">
        <v>0</v>
      </c>
      <c r="BX96" s="578">
        <v>0</v>
      </c>
      <c r="BY96" s="578">
        <v>0</v>
      </c>
      <c r="BZ96" s="578">
        <v>2138432.0099999998</v>
      </c>
      <c r="CA96" s="578">
        <v>2246536.58</v>
      </c>
      <c r="CB96" s="578">
        <v>6553.75</v>
      </c>
      <c r="CC96" s="578">
        <v>0</v>
      </c>
      <c r="CD96" s="578">
        <v>391138.95</v>
      </c>
    </row>
    <row r="97" spans="1:82" hidden="1" x14ac:dyDescent="0.3">
      <c r="A97" s="574" t="s">
        <v>1682</v>
      </c>
      <c r="B97" s="577">
        <v>3301008</v>
      </c>
      <c r="C97" s="574">
        <f>_xlfn.XLOOKUP(B97,'[1]Blade-Export_15-08-2022_sources'!B:B,'[1]Blade-Export_15-08-2022_sources'!F:F,0,FALSE)</f>
        <v>330</v>
      </c>
      <c r="D97" s="574">
        <f>_xlfn.XLOOKUP($B97,'[1]Blade-Export_15-08-2022_sources'!$B:$B,'[1]Blade-Export_15-08-2022_sources'!G:G,0,FALSE)</f>
        <v>1008</v>
      </c>
      <c r="E97" s="574" t="str">
        <f>_xlfn.XLOOKUP($B97,'[1]Blade-Export_15-08-2022_sources'!$B:$B,'[1]Blade-Export_15-08-2022_sources'!H:H,0,FALSE)</f>
        <v>PERRY BEECHES Nurs</v>
      </c>
      <c r="F97" s="578">
        <v>111820.88</v>
      </c>
      <c r="G97" s="578">
        <v>0</v>
      </c>
      <c r="H97" s="578">
        <v>2239.21</v>
      </c>
      <c r="I97" s="578">
        <v>450069.03</v>
      </c>
      <c r="J97" s="578">
        <v>0</v>
      </c>
      <c r="K97" s="578">
        <v>1307.08</v>
      </c>
      <c r="L97" s="578">
        <v>0</v>
      </c>
      <c r="M97" s="578">
        <v>0</v>
      </c>
      <c r="N97" s="578">
        <v>0</v>
      </c>
      <c r="O97" s="578">
        <v>0</v>
      </c>
      <c r="P97" s="578">
        <v>24665.78</v>
      </c>
      <c r="Q97" s="578">
        <v>156.55000000000001</v>
      </c>
      <c r="R97" s="578">
        <v>0</v>
      </c>
      <c r="S97" s="578">
        <v>0</v>
      </c>
      <c r="T97" s="578">
        <v>0</v>
      </c>
      <c r="U97" s="578">
        <v>0</v>
      </c>
      <c r="V97" s="578">
        <v>19478</v>
      </c>
      <c r="W97" s="578"/>
      <c r="X97" s="578">
        <v>0</v>
      </c>
      <c r="Y97" s="578">
        <v>0</v>
      </c>
      <c r="Z97" s="578">
        <v>0</v>
      </c>
      <c r="AA97" s="578">
        <v>0</v>
      </c>
      <c r="AB97" s="578">
        <v>0</v>
      </c>
      <c r="AC97" s="578">
        <v>0</v>
      </c>
      <c r="AD97" s="578">
        <v>0</v>
      </c>
      <c r="AE97" s="578">
        <v>133818.04</v>
      </c>
      <c r="AF97" s="578">
        <v>0</v>
      </c>
      <c r="AG97" s="578">
        <v>103894.44</v>
      </c>
      <c r="AH97" s="578">
        <v>3728.77</v>
      </c>
      <c r="AI97" s="578">
        <v>42730.55</v>
      </c>
      <c r="AJ97" s="578">
        <v>0</v>
      </c>
      <c r="AK97" s="578">
        <v>52746.8</v>
      </c>
      <c r="AL97" s="578">
        <v>487.9</v>
      </c>
      <c r="AM97" s="578">
        <v>2109.7399999999998</v>
      </c>
      <c r="AN97" s="578">
        <v>0</v>
      </c>
      <c r="AO97" s="578">
        <v>0</v>
      </c>
      <c r="AP97" s="578">
        <v>5698.43</v>
      </c>
      <c r="AQ97" s="578">
        <v>11831.02</v>
      </c>
      <c r="AR97" s="578">
        <v>0</v>
      </c>
      <c r="AS97" s="578">
        <v>1237.82</v>
      </c>
      <c r="AT97" s="578">
        <v>10222.89</v>
      </c>
      <c r="AU97" s="578">
        <v>7485</v>
      </c>
      <c r="AV97" s="578">
        <v>0</v>
      </c>
      <c r="AW97" s="578">
        <v>16868.66</v>
      </c>
      <c r="AX97" s="578">
        <v>999.32</v>
      </c>
      <c r="AY97" s="578">
        <v>0</v>
      </c>
      <c r="AZ97" s="578">
        <v>21728.92</v>
      </c>
      <c r="BA97" s="578">
        <v>2850</v>
      </c>
      <c r="BB97" s="578">
        <v>0</v>
      </c>
      <c r="BC97" s="578">
        <v>231.5</v>
      </c>
      <c r="BD97" s="578">
        <v>6521.9</v>
      </c>
      <c r="BE97" s="578">
        <v>12656.43</v>
      </c>
      <c r="BF97" s="578">
        <v>17415.11</v>
      </c>
      <c r="BG97" s="578">
        <v>0</v>
      </c>
      <c r="BH97" s="578">
        <v>0</v>
      </c>
      <c r="BI97" s="578">
        <v>0</v>
      </c>
      <c r="BJ97" s="578">
        <v>0</v>
      </c>
      <c r="BK97" s="578">
        <v>0</v>
      </c>
      <c r="BL97" s="578">
        <v>4702</v>
      </c>
      <c r="BM97" s="578">
        <v>0</v>
      </c>
      <c r="BN97" s="578">
        <v>0</v>
      </c>
      <c r="BO97" s="578">
        <v>10000</v>
      </c>
      <c r="BP97" s="578">
        <v>0</v>
      </c>
      <c r="BQ97" s="578">
        <v>0</v>
      </c>
      <c r="BR97" s="578">
        <v>0</v>
      </c>
      <c r="BS97" s="578">
        <v>0</v>
      </c>
      <c r="BT97" s="578">
        <v>0</v>
      </c>
      <c r="BU97" s="578">
        <v>152234.09</v>
      </c>
      <c r="BV97" s="578">
        <v>6941.21</v>
      </c>
      <c r="BW97" s="578">
        <v>0</v>
      </c>
      <c r="BX97" s="578">
        <v>0</v>
      </c>
      <c r="BY97" s="578">
        <v>0</v>
      </c>
      <c r="BZ97" s="578">
        <v>495676.44</v>
      </c>
      <c r="CA97" s="578">
        <v>455263.24</v>
      </c>
      <c r="CB97" s="578">
        <v>4702</v>
      </c>
      <c r="CC97" s="578">
        <v>0</v>
      </c>
      <c r="CD97" s="578">
        <v>159175.29999999999</v>
      </c>
    </row>
    <row r="98" spans="1:82" hidden="1" x14ac:dyDescent="0.3">
      <c r="A98" s="574" t="s">
        <v>1683</v>
      </c>
      <c r="B98" s="577">
        <v>3302016</v>
      </c>
      <c r="C98" s="574">
        <f>_xlfn.XLOOKUP(B98,'[1]Blade-Export_15-08-2022_sources'!B:B,'[1]Blade-Export_15-08-2022_sources'!F:F,0,FALSE)</f>
        <v>330</v>
      </c>
      <c r="D98" s="574">
        <f>_xlfn.XLOOKUP($B98,'[1]Blade-Export_15-08-2022_sources'!$B:$B,'[1]Blade-Export_15-08-2022_sources'!G:G,0,FALSE)</f>
        <v>2016</v>
      </c>
      <c r="E98" s="574" t="str">
        <f>_xlfn.XLOOKUP($B98,'[1]Blade-Export_15-08-2022_sources'!$B:$B,'[1]Blade-Export_15-08-2022_sources'!H:H,0,FALSE)</f>
        <v xml:space="preserve">PERRY BEECHES J </v>
      </c>
      <c r="F98" s="578">
        <v>387234.38</v>
      </c>
      <c r="G98" s="578">
        <v>0</v>
      </c>
      <c r="H98" s="578">
        <v>12166.65</v>
      </c>
      <c r="I98" s="578">
        <v>1830039.42</v>
      </c>
      <c r="J98" s="578">
        <v>0</v>
      </c>
      <c r="K98" s="578">
        <v>29615.79</v>
      </c>
      <c r="L98" s="578">
        <v>0</v>
      </c>
      <c r="M98" s="578">
        <v>156020</v>
      </c>
      <c r="N98" s="578">
        <v>4134.38</v>
      </c>
      <c r="O98" s="578">
        <v>0</v>
      </c>
      <c r="P98" s="578">
        <v>0</v>
      </c>
      <c r="Q98" s="578">
        <v>485.19</v>
      </c>
      <c r="R98" s="578">
        <v>0</v>
      </c>
      <c r="S98" s="578">
        <v>0</v>
      </c>
      <c r="T98" s="578">
        <v>0</v>
      </c>
      <c r="U98" s="578">
        <v>32537.24</v>
      </c>
      <c r="V98" s="578">
        <v>0</v>
      </c>
      <c r="W98" s="578"/>
      <c r="X98" s="578">
        <v>0</v>
      </c>
      <c r="Y98" s="578">
        <v>0</v>
      </c>
      <c r="Z98" s="578">
        <v>0</v>
      </c>
      <c r="AA98" s="578">
        <v>0</v>
      </c>
      <c r="AB98" s="578">
        <v>13744.38</v>
      </c>
      <c r="AC98" s="578">
        <v>12000</v>
      </c>
      <c r="AD98" s="578">
        <v>19607</v>
      </c>
      <c r="AE98" s="578">
        <v>954731.06</v>
      </c>
      <c r="AF98" s="578">
        <v>0</v>
      </c>
      <c r="AG98" s="578">
        <v>264489.56</v>
      </c>
      <c r="AH98" s="578">
        <v>0</v>
      </c>
      <c r="AI98" s="578">
        <v>191285.53</v>
      </c>
      <c r="AJ98" s="578">
        <v>0</v>
      </c>
      <c r="AK98" s="578">
        <v>65280.36</v>
      </c>
      <c r="AL98" s="578">
        <v>1831.99</v>
      </c>
      <c r="AM98" s="578">
        <v>4843.6099999999997</v>
      </c>
      <c r="AN98" s="578">
        <v>0</v>
      </c>
      <c r="AO98" s="578">
        <v>0</v>
      </c>
      <c r="AP98" s="578">
        <v>7600.22</v>
      </c>
      <c r="AQ98" s="578">
        <v>0</v>
      </c>
      <c r="AR98" s="578">
        <v>100.97</v>
      </c>
      <c r="AS98" s="578">
        <v>0</v>
      </c>
      <c r="AT98" s="578">
        <v>16210.94</v>
      </c>
      <c r="AU98" s="578">
        <v>40067.97</v>
      </c>
      <c r="AV98" s="578">
        <v>0</v>
      </c>
      <c r="AW98" s="578">
        <v>60728.55</v>
      </c>
      <c r="AX98" s="578">
        <v>23432.66</v>
      </c>
      <c r="AY98" s="578">
        <v>0</v>
      </c>
      <c r="AZ98" s="578">
        <v>297880.03000000003</v>
      </c>
      <c r="BA98" s="578">
        <v>8993.75</v>
      </c>
      <c r="BB98" s="578">
        <v>0</v>
      </c>
      <c r="BC98" s="578">
        <v>44960.26</v>
      </c>
      <c r="BD98" s="578">
        <v>44443.95</v>
      </c>
      <c r="BE98" s="578">
        <v>10464.950000000001</v>
      </c>
      <c r="BF98" s="578">
        <v>99435.87</v>
      </c>
      <c r="BG98" s="578">
        <v>0</v>
      </c>
      <c r="BH98" s="578">
        <v>0</v>
      </c>
      <c r="BI98" s="578">
        <v>1585.5</v>
      </c>
      <c r="BJ98" s="578">
        <v>0</v>
      </c>
      <c r="BK98" s="578">
        <v>0</v>
      </c>
      <c r="BL98" s="578">
        <v>8083.75</v>
      </c>
      <c r="BM98" s="578">
        <v>0</v>
      </c>
      <c r="BN98" s="578">
        <v>0</v>
      </c>
      <c r="BO98" s="578">
        <v>10000</v>
      </c>
      <c r="BP98" s="578">
        <v>0</v>
      </c>
      <c r="BQ98" s="578">
        <v>7191.85</v>
      </c>
      <c r="BR98" s="578">
        <v>0</v>
      </c>
      <c r="BS98" s="578">
        <v>0</v>
      </c>
      <c r="BT98" s="578">
        <v>0</v>
      </c>
      <c r="BU98" s="578">
        <v>347050.05</v>
      </c>
      <c r="BV98" s="578">
        <v>13058.55</v>
      </c>
      <c r="BW98" s="578">
        <v>0</v>
      </c>
      <c r="BX98" s="578">
        <v>0</v>
      </c>
      <c r="BY98" s="578">
        <v>0</v>
      </c>
      <c r="BZ98" s="578">
        <v>2098183.4</v>
      </c>
      <c r="CA98" s="578">
        <v>2138367.73</v>
      </c>
      <c r="CB98" s="578">
        <v>8083.75</v>
      </c>
      <c r="CC98" s="578">
        <v>7191.85</v>
      </c>
      <c r="CD98" s="578">
        <v>360108.6</v>
      </c>
    </row>
    <row r="99" spans="1:82" hidden="1" x14ac:dyDescent="0.3">
      <c r="A99" s="574" t="s">
        <v>1684</v>
      </c>
      <c r="B99" s="577">
        <v>3302017</v>
      </c>
      <c r="C99" s="574">
        <f>_xlfn.XLOOKUP(B99,'[1]Blade-Export_15-08-2022_sources'!B:B,'[1]Blade-Export_15-08-2022_sources'!F:F,0,FALSE)</f>
        <v>330</v>
      </c>
      <c r="D99" s="574">
        <f>_xlfn.XLOOKUP($B99,'[1]Blade-Export_15-08-2022_sources'!$B:$B,'[1]Blade-Export_15-08-2022_sources'!G:G,0,FALSE)</f>
        <v>2017</v>
      </c>
      <c r="E99" s="574" t="str">
        <f>_xlfn.XLOOKUP($B99,'[1]Blade-Export_15-08-2022_sources'!$B:$B,'[1]Blade-Export_15-08-2022_sources'!H:H,0,FALSE)</f>
        <v xml:space="preserve">BEECHES I (Formerly PERRY BEECHES I) </v>
      </c>
      <c r="F99" s="578">
        <v>-39935.82</v>
      </c>
      <c r="G99" s="578">
        <v>0</v>
      </c>
      <c r="H99" s="578">
        <v>21669.27</v>
      </c>
      <c r="I99" s="578">
        <v>1466752.95</v>
      </c>
      <c r="J99" s="578">
        <v>0</v>
      </c>
      <c r="K99" s="578">
        <v>123602.91</v>
      </c>
      <c r="L99" s="578">
        <v>0</v>
      </c>
      <c r="M99" s="578">
        <v>98840</v>
      </c>
      <c r="N99" s="578">
        <v>2008.13</v>
      </c>
      <c r="O99" s="578">
        <v>0</v>
      </c>
      <c r="P99" s="578">
        <v>0</v>
      </c>
      <c r="Q99" s="578">
        <v>0</v>
      </c>
      <c r="R99" s="578">
        <v>102.79</v>
      </c>
      <c r="S99" s="578">
        <v>0</v>
      </c>
      <c r="T99" s="578">
        <v>0</v>
      </c>
      <c r="U99" s="578">
        <v>0</v>
      </c>
      <c r="V99" s="578">
        <v>0</v>
      </c>
      <c r="W99" s="578"/>
      <c r="X99" s="578">
        <v>0</v>
      </c>
      <c r="Y99" s="578">
        <v>0</v>
      </c>
      <c r="Z99" s="578">
        <v>0</v>
      </c>
      <c r="AA99" s="578">
        <v>0</v>
      </c>
      <c r="AB99" s="578">
        <v>8428.1299999999992</v>
      </c>
      <c r="AC99" s="578">
        <v>8960</v>
      </c>
      <c r="AD99" s="578">
        <v>99477</v>
      </c>
      <c r="AE99" s="578">
        <v>787321.56</v>
      </c>
      <c r="AF99" s="578">
        <v>13402.7</v>
      </c>
      <c r="AG99" s="578">
        <v>152712.67000000001</v>
      </c>
      <c r="AH99" s="578">
        <v>0</v>
      </c>
      <c r="AI99" s="578">
        <v>127087.24</v>
      </c>
      <c r="AJ99" s="578">
        <v>0</v>
      </c>
      <c r="AK99" s="578">
        <v>34829.11</v>
      </c>
      <c r="AL99" s="578">
        <v>2116</v>
      </c>
      <c r="AM99" s="578">
        <v>2100</v>
      </c>
      <c r="AN99" s="578">
        <v>0</v>
      </c>
      <c r="AO99" s="578">
        <v>0</v>
      </c>
      <c r="AP99" s="578">
        <v>11053.62</v>
      </c>
      <c r="AQ99" s="578">
        <v>0</v>
      </c>
      <c r="AR99" s="578">
        <v>55.2</v>
      </c>
      <c r="AS99" s="578">
        <v>0</v>
      </c>
      <c r="AT99" s="578">
        <v>4704.6400000000003</v>
      </c>
      <c r="AU99" s="578">
        <v>27580.42</v>
      </c>
      <c r="AV99" s="578">
        <v>4536.8100000000004</v>
      </c>
      <c r="AW99" s="578">
        <v>29123.81</v>
      </c>
      <c r="AX99" s="578">
        <v>11436.86</v>
      </c>
      <c r="AY99" s="578">
        <v>0</v>
      </c>
      <c r="AZ99" s="578">
        <v>280051.28999999998</v>
      </c>
      <c r="BA99" s="578">
        <v>4450</v>
      </c>
      <c r="BB99" s="578">
        <v>0</v>
      </c>
      <c r="BC99" s="578">
        <v>98582.59</v>
      </c>
      <c r="BD99" s="578">
        <v>111465.94</v>
      </c>
      <c r="BE99" s="578">
        <v>15568.67</v>
      </c>
      <c r="BF99" s="578">
        <v>41066.68</v>
      </c>
      <c r="BG99" s="578">
        <v>0</v>
      </c>
      <c r="BH99" s="578">
        <v>0</v>
      </c>
      <c r="BI99" s="578">
        <v>0</v>
      </c>
      <c r="BJ99" s="578">
        <v>0</v>
      </c>
      <c r="BK99" s="578">
        <v>0</v>
      </c>
      <c r="BL99" s="578">
        <v>7037.5</v>
      </c>
      <c r="BM99" s="578">
        <v>0</v>
      </c>
      <c r="BN99" s="578">
        <v>0</v>
      </c>
      <c r="BO99" s="578">
        <v>10000</v>
      </c>
      <c r="BP99" s="578">
        <v>0</v>
      </c>
      <c r="BQ99" s="578">
        <v>5661.95</v>
      </c>
      <c r="BR99" s="578">
        <v>11538.88</v>
      </c>
      <c r="BS99" s="578">
        <v>0</v>
      </c>
      <c r="BT99" s="578">
        <v>0</v>
      </c>
      <c r="BU99" s="578">
        <v>8990.27</v>
      </c>
      <c r="BV99" s="578">
        <v>11505.94</v>
      </c>
      <c r="BW99" s="578">
        <v>0</v>
      </c>
      <c r="BX99" s="578">
        <v>0</v>
      </c>
      <c r="BY99" s="578">
        <v>0</v>
      </c>
      <c r="BZ99" s="578">
        <v>1808171.91</v>
      </c>
      <c r="CA99" s="578">
        <v>1759245.81</v>
      </c>
      <c r="CB99" s="578">
        <v>7037.5</v>
      </c>
      <c r="CC99" s="578">
        <v>17200.830000000002</v>
      </c>
      <c r="CD99" s="578">
        <v>20496.21</v>
      </c>
    </row>
    <row r="100" spans="1:82" hidden="1" x14ac:dyDescent="0.3">
      <c r="A100" s="574" t="s">
        <v>1685</v>
      </c>
      <c r="B100" s="577">
        <v>3302425</v>
      </c>
      <c r="C100" s="574">
        <f>_xlfn.XLOOKUP(B100,'[1]Blade-Export_15-08-2022_sources'!B:B,'[1]Blade-Export_15-08-2022_sources'!F:F,0,FALSE)</f>
        <v>330</v>
      </c>
      <c r="D100" s="574">
        <f>_xlfn.XLOOKUP($B100,'[1]Blade-Export_15-08-2022_sources'!$B:$B,'[1]Blade-Export_15-08-2022_sources'!G:G,0,FALSE)</f>
        <v>2425</v>
      </c>
      <c r="E100" s="574" t="str">
        <f>_xlfn.XLOOKUP($B100,'[1]Blade-Export_15-08-2022_sources'!$B:$B,'[1]Blade-Export_15-08-2022_sources'!H:H,0,FALSE)</f>
        <v xml:space="preserve">PENNS JI </v>
      </c>
      <c r="F100" s="578">
        <v>94136</v>
      </c>
      <c r="G100" s="578">
        <v>0</v>
      </c>
      <c r="H100" s="578">
        <v>28839.75</v>
      </c>
      <c r="I100" s="578">
        <v>960098.68</v>
      </c>
      <c r="J100" s="578">
        <v>0</v>
      </c>
      <c r="K100" s="578">
        <v>2090</v>
      </c>
      <c r="L100" s="578">
        <v>0</v>
      </c>
      <c r="M100" s="578">
        <v>52385</v>
      </c>
      <c r="N100" s="578">
        <v>1181.25</v>
      </c>
      <c r="O100" s="578">
        <v>0</v>
      </c>
      <c r="P100" s="578">
        <v>18600.55</v>
      </c>
      <c r="Q100" s="578">
        <v>48.88</v>
      </c>
      <c r="R100" s="578">
        <v>0</v>
      </c>
      <c r="S100" s="578">
        <v>0</v>
      </c>
      <c r="T100" s="578">
        <v>0</v>
      </c>
      <c r="U100" s="578">
        <v>46993.04</v>
      </c>
      <c r="V100" s="578">
        <v>0</v>
      </c>
      <c r="W100" s="578"/>
      <c r="X100" s="578">
        <v>0</v>
      </c>
      <c r="Y100" s="578">
        <v>0</v>
      </c>
      <c r="Z100" s="578">
        <v>0</v>
      </c>
      <c r="AA100" s="578">
        <v>0</v>
      </c>
      <c r="AB100" s="578">
        <v>3718.75</v>
      </c>
      <c r="AC100" s="578">
        <v>7060</v>
      </c>
      <c r="AD100" s="578">
        <v>51654</v>
      </c>
      <c r="AE100" s="578">
        <v>584026.80000000005</v>
      </c>
      <c r="AF100" s="578">
        <v>0</v>
      </c>
      <c r="AG100" s="578">
        <v>176425.65</v>
      </c>
      <c r="AH100" s="578">
        <v>39830.28</v>
      </c>
      <c r="AI100" s="578">
        <v>73481.570000000007</v>
      </c>
      <c r="AJ100" s="578">
        <v>0</v>
      </c>
      <c r="AK100" s="578">
        <v>9541.16</v>
      </c>
      <c r="AL100" s="578">
        <v>2072.7399999999998</v>
      </c>
      <c r="AM100" s="578">
        <v>12339.82</v>
      </c>
      <c r="AN100" s="578">
        <v>0</v>
      </c>
      <c r="AO100" s="578">
        <v>0</v>
      </c>
      <c r="AP100" s="578">
        <v>12413.69</v>
      </c>
      <c r="AQ100" s="578">
        <v>6760.6</v>
      </c>
      <c r="AR100" s="578">
        <v>30692.27</v>
      </c>
      <c r="AS100" s="578">
        <v>4983.1000000000004</v>
      </c>
      <c r="AT100" s="578">
        <v>8847.5300000000007</v>
      </c>
      <c r="AU100" s="578">
        <v>15170.22</v>
      </c>
      <c r="AV100" s="578">
        <v>12955.45</v>
      </c>
      <c r="AW100" s="578">
        <v>38234.54</v>
      </c>
      <c r="AX100" s="578">
        <v>22639.11</v>
      </c>
      <c r="AY100" s="578">
        <v>0</v>
      </c>
      <c r="AZ100" s="578">
        <v>15327.8</v>
      </c>
      <c r="BA100" s="578">
        <v>4450</v>
      </c>
      <c r="BB100" s="578">
        <v>0</v>
      </c>
      <c r="BC100" s="578">
        <v>11337.9</v>
      </c>
      <c r="BD100" s="578">
        <v>3084</v>
      </c>
      <c r="BE100" s="578">
        <v>20982.38</v>
      </c>
      <c r="BF100" s="578">
        <v>91348.01</v>
      </c>
      <c r="BG100" s="578">
        <v>0</v>
      </c>
      <c r="BH100" s="578">
        <v>0</v>
      </c>
      <c r="BI100" s="578">
        <v>6057.22</v>
      </c>
      <c r="BJ100" s="578">
        <v>0</v>
      </c>
      <c r="BK100" s="578">
        <v>0</v>
      </c>
      <c r="BL100" s="578">
        <v>6385</v>
      </c>
      <c r="BM100" s="578">
        <v>0</v>
      </c>
      <c r="BN100" s="578">
        <v>0</v>
      </c>
      <c r="BO100" s="578">
        <v>10000</v>
      </c>
      <c r="BP100" s="578">
        <v>0</v>
      </c>
      <c r="BQ100" s="578">
        <v>0</v>
      </c>
      <c r="BR100" s="578">
        <v>0</v>
      </c>
      <c r="BS100" s="578">
        <v>0</v>
      </c>
      <c r="BT100" s="578">
        <v>0</v>
      </c>
      <c r="BU100" s="578">
        <v>34964.31</v>
      </c>
      <c r="BV100" s="578">
        <v>35224.75</v>
      </c>
      <c r="BW100" s="578">
        <v>0</v>
      </c>
      <c r="BX100" s="578">
        <v>0</v>
      </c>
      <c r="BY100" s="578">
        <v>0</v>
      </c>
      <c r="BZ100" s="578">
        <v>1143830.1499999999</v>
      </c>
      <c r="CA100" s="578">
        <v>1203001.8400000001</v>
      </c>
      <c r="CB100" s="578">
        <v>6385</v>
      </c>
      <c r="CC100" s="578">
        <v>0</v>
      </c>
      <c r="CD100" s="578">
        <v>70189.06</v>
      </c>
    </row>
    <row r="101" spans="1:82" hidden="1" x14ac:dyDescent="0.3">
      <c r="A101" s="574" t="s">
        <v>1686</v>
      </c>
      <c r="B101" s="577">
        <v>3302150</v>
      </c>
      <c r="C101" s="574">
        <f>_xlfn.XLOOKUP(B101,'[1]Blade-Export_15-08-2022_sources'!B:B,'[1]Blade-Export_15-08-2022_sources'!F:F,0,FALSE)</f>
        <v>330</v>
      </c>
      <c r="D101" s="574">
        <f>_xlfn.XLOOKUP($B101,'[1]Blade-Export_15-08-2022_sources'!$B:$B,'[1]Blade-Export_15-08-2022_sources'!G:G,0,FALSE)</f>
        <v>2150</v>
      </c>
      <c r="E101" s="574" t="str">
        <f>_xlfn.XLOOKUP($B101,'[1]Blade-Export_15-08-2022_sources'!$B:$B,'[1]Blade-Export_15-08-2022_sources'!H:H,0,FALSE)</f>
        <v>PARK HILL JI NC</v>
      </c>
      <c r="F101" s="578">
        <v>-38322.120000000003</v>
      </c>
      <c r="G101" s="578">
        <v>0</v>
      </c>
      <c r="H101" s="578">
        <v>62395.67</v>
      </c>
      <c r="I101" s="578">
        <v>1969322.04</v>
      </c>
      <c r="J101" s="578">
        <v>0</v>
      </c>
      <c r="K101" s="578">
        <v>75125.16</v>
      </c>
      <c r="L101" s="578">
        <v>0</v>
      </c>
      <c r="M101" s="578">
        <v>201750</v>
      </c>
      <c r="N101" s="578">
        <v>4665.9399999999996</v>
      </c>
      <c r="O101" s="578">
        <v>0</v>
      </c>
      <c r="P101" s="578">
        <v>27395.66</v>
      </c>
      <c r="Q101" s="578">
        <v>0</v>
      </c>
      <c r="R101" s="578">
        <v>32.630000000000003</v>
      </c>
      <c r="S101" s="578">
        <v>0</v>
      </c>
      <c r="T101" s="578">
        <v>0</v>
      </c>
      <c r="U101" s="578">
        <v>5338.86</v>
      </c>
      <c r="V101" s="578">
        <v>0</v>
      </c>
      <c r="W101" s="578"/>
      <c r="X101" s="578">
        <v>0</v>
      </c>
      <c r="Y101" s="578">
        <v>0</v>
      </c>
      <c r="Z101" s="578">
        <v>0</v>
      </c>
      <c r="AA101" s="578">
        <v>0</v>
      </c>
      <c r="AB101" s="578">
        <v>15304.69</v>
      </c>
      <c r="AC101" s="578">
        <v>12700</v>
      </c>
      <c r="AD101" s="578">
        <v>43215</v>
      </c>
      <c r="AE101" s="578">
        <v>1237410.29</v>
      </c>
      <c r="AF101" s="578">
        <v>0</v>
      </c>
      <c r="AG101" s="578">
        <v>418122.64</v>
      </c>
      <c r="AH101" s="578">
        <v>86853.88</v>
      </c>
      <c r="AI101" s="578">
        <v>210569.43</v>
      </c>
      <c r="AJ101" s="578">
        <v>0</v>
      </c>
      <c r="AK101" s="578">
        <v>102237.44</v>
      </c>
      <c r="AL101" s="578">
        <v>1443.17</v>
      </c>
      <c r="AM101" s="578">
        <v>460</v>
      </c>
      <c r="AN101" s="578">
        <v>0</v>
      </c>
      <c r="AO101" s="578">
        <v>0</v>
      </c>
      <c r="AP101" s="578">
        <v>25115.1</v>
      </c>
      <c r="AQ101" s="578">
        <v>2397.75</v>
      </c>
      <c r="AR101" s="578">
        <v>2555.19</v>
      </c>
      <c r="AS101" s="578">
        <v>347.74</v>
      </c>
      <c r="AT101" s="578">
        <v>38660.68</v>
      </c>
      <c r="AU101" s="578">
        <v>34218.239999999998</v>
      </c>
      <c r="AV101" s="578">
        <v>7030.31</v>
      </c>
      <c r="AW101" s="578">
        <v>51667.13</v>
      </c>
      <c r="AX101" s="578">
        <v>18123.75</v>
      </c>
      <c r="AY101" s="578">
        <v>0</v>
      </c>
      <c r="AZ101" s="578">
        <v>37240.61</v>
      </c>
      <c r="BA101" s="578">
        <v>8200</v>
      </c>
      <c r="BB101" s="578">
        <v>0</v>
      </c>
      <c r="BC101" s="578">
        <v>7566.22</v>
      </c>
      <c r="BD101" s="578">
        <v>23284.71</v>
      </c>
      <c r="BE101" s="578">
        <v>5075.75</v>
      </c>
      <c r="BF101" s="578">
        <v>192234.56</v>
      </c>
      <c r="BG101" s="578">
        <v>0</v>
      </c>
      <c r="BH101" s="578">
        <v>0</v>
      </c>
      <c r="BI101" s="578">
        <v>2251.7800000000002</v>
      </c>
      <c r="BJ101" s="578">
        <v>0</v>
      </c>
      <c r="BK101" s="578">
        <v>0</v>
      </c>
      <c r="BL101" s="578">
        <v>8996.1200000000008</v>
      </c>
      <c r="BM101" s="578">
        <v>0</v>
      </c>
      <c r="BN101" s="578">
        <v>0</v>
      </c>
      <c r="BO101" s="578">
        <v>10000</v>
      </c>
      <c r="BP101" s="578">
        <v>0</v>
      </c>
      <c r="BQ101" s="578">
        <v>0</v>
      </c>
      <c r="BR101" s="578">
        <v>0</v>
      </c>
      <c r="BS101" s="578">
        <v>0</v>
      </c>
      <c r="BT101" s="578">
        <v>0</v>
      </c>
      <c r="BU101" s="578">
        <v>-196538.52</v>
      </c>
      <c r="BV101" s="578">
        <v>71391.789999999994</v>
      </c>
      <c r="BW101" s="578">
        <v>0</v>
      </c>
      <c r="BX101" s="578">
        <v>0</v>
      </c>
      <c r="BY101" s="578">
        <v>0</v>
      </c>
      <c r="BZ101" s="578">
        <v>2354849.98</v>
      </c>
      <c r="CA101" s="578">
        <v>2513066.37</v>
      </c>
      <c r="CB101" s="578">
        <v>8996.1200000000008</v>
      </c>
      <c r="CC101" s="578">
        <v>0</v>
      </c>
      <c r="CD101" s="578">
        <v>-125146.73</v>
      </c>
    </row>
    <row r="102" spans="1:82" hidden="1" x14ac:dyDescent="0.3">
      <c r="A102" s="574" t="s">
        <v>1687</v>
      </c>
      <c r="B102" s="577">
        <v>3302149</v>
      </c>
      <c r="C102" s="574">
        <f>_xlfn.XLOOKUP(B102,'[1]Blade-Export_15-08-2022_sources'!B:B,'[1]Blade-Export_15-08-2022_sources'!F:F,0,FALSE)</f>
        <v>330</v>
      </c>
      <c r="D102" s="574">
        <f>_xlfn.XLOOKUP($B102,'[1]Blade-Export_15-08-2022_sources'!$B:$B,'[1]Blade-Export_15-08-2022_sources'!G:G,0,FALSE)</f>
        <v>2149</v>
      </c>
      <c r="E102" s="574" t="str">
        <f>_xlfn.XLOOKUP($B102,'[1]Blade-Export_15-08-2022_sources'!$B:$B,'[1]Blade-Export_15-08-2022_sources'!H:H,0,FALSE)</f>
        <v>PAGET JI NC</v>
      </c>
      <c r="F102" s="578">
        <v>383747.4</v>
      </c>
      <c r="G102" s="578">
        <v>0</v>
      </c>
      <c r="H102" s="578">
        <v>20492.22</v>
      </c>
      <c r="I102" s="578">
        <v>2039411.96</v>
      </c>
      <c r="J102" s="578">
        <v>0</v>
      </c>
      <c r="K102" s="578">
        <v>154913.93</v>
      </c>
      <c r="L102" s="578">
        <v>0</v>
      </c>
      <c r="M102" s="578">
        <v>233650</v>
      </c>
      <c r="N102" s="578">
        <v>5610.94</v>
      </c>
      <c r="O102" s="578">
        <v>0</v>
      </c>
      <c r="P102" s="578">
        <v>87140.04</v>
      </c>
      <c r="Q102" s="578">
        <v>477.68</v>
      </c>
      <c r="R102" s="578">
        <v>31.21</v>
      </c>
      <c r="S102" s="578">
        <v>0</v>
      </c>
      <c r="T102" s="578">
        <v>0</v>
      </c>
      <c r="U102" s="578">
        <v>9934.61</v>
      </c>
      <c r="V102" s="578">
        <v>0</v>
      </c>
      <c r="W102" s="578"/>
      <c r="X102" s="578">
        <v>0</v>
      </c>
      <c r="Y102" s="578">
        <v>0</v>
      </c>
      <c r="Z102" s="578">
        <v>0</v>
      </c>
      <c r="AA102" s="578">
        <v>0</v>
      </c>
      <c r="AB102" s="578">
        <v>19017.810000000001</v>
      </c>
      <c r="AC102" s="578">
        <v>12800</v>
      </c>
      <c r="AD102" s="578">
        <v>48412</v>
      </c>
      <c r="AE102" s="578">
        <v>1212954.5900000001</v>
      </c>
      <c r="AF102" s="578">
        <v>0</v>
      </c>
      <c r="AG102" s="578">
        <v>347766.28</v>
      </c>
      <c r="AH102" s="578">
        <v>33996.519999999997</v>
      </c>
      <c r="AI102" s="578">
        <v>260648.51</v>
      </c>
      <c r="AJ102" s="578">
        <v>729.68</v>
      </c>
      <c r="AK102" s="578">
        <v>82470.22</v>
      </c>
      <c r="AL102" s="578">
        <v>3634.77</v>
      </c>
      <c r="AM102" s="578">
        <v>7832.39</v>
      </c>
      <c r="AN102" s="578">
        <v>0</v>
      </c>
      <c r="AO102" s="578">
        <v>0</v>
      </c>
      <c r="AP102" s="578">
        <v>33706.35</v>
      </c>
      <c r="AQ102" s="578">
        <v>1421.12</v>
      </c>
      <c r="AR102" s="578">
        <v>3692.14</v>
      </c>
      <c r="AS102" s="578">
        <v>2385.5700000000002</v>
      </c>
      <c r="AT102" s="578">
        <v>23440.34</v>
      </c>
      <c r="AU102" s="578">
        <v>31844.93</v>
      </c>
      <c r="AV102" s="578">
        <v>13256.96</v>
      </c>
      <c r="AW102" s="578">
        <v>179205.75</v>
      </c>
      <c r="AX102" s="578">
        <v>8722.11</v>
      </c>
      <c r="AY102" s="578">
        <v>0</v>
      </c>
      <c r="AZ102" s="578">
        <v>40662.54</v>
      </c>
      <c r="BA102" s="578">
        <v>9500</v>
      </c>
      <c r="BB102" s="578">
        <v>0</v>
      </c>
      <c r="BC102" s="578">
        <v>49752.18</v>
      </c>
      <c r="BD102" s="578">
        <v>87340.78</v>
      </c>
      <c r="BE102" s="578">
        <v>1018.5</v>
      </c>
      <c r="BF102" s="578">
        <v>217484.65</v>
      </c>
      <c r="BG102" s="578">
        <v>0</v>
      </c>
      <c r="BH102" s="578">
        <v>0</v>
      </c>
      <c r="BI102" s="578">
        <v>0</v>
      </c>
      <c r="BJ102" s="578">
        <v>0</v>
      </c>
      <c r="BK102" s="578">
        <v>0</v>
      </c>
      <c r="BL102" s="578">
        <v>8495.5</v>
      </c>
      <c r="BM102" s="578">
        <v>0</v>
      </c>
      <c r="BN102" s="578">
        <v>0</v>
      </c>
      <c r="BO102" s="578">
        <v>10000</v>
      </c>
      <c r="BP102" s="578">
        <v>0</v>
      </c>
      <c r="BQ102" s="578">
        <v>0</v>
      </c>
      <c r="BR102" s="578">
        <v>0</v>
      </c>
      <c r="BS102" s="578">
        <v>0</v>
      </c>
      <c r="BT102" s="578">
        <v>0</v>
      </c>
      <c r="BU102" s="578">
        <v>341680.7</v>
      </c>
      <c r="BV102" s="578">
        <v>28987.72</v>
      </c>
      <c r="BW102" s="578">
        <v>0</v>
      </c>
      <c r="BX102" s="578">
        <v>0</v>
      </c>
      <c r="BY102" s="578">
        <v>0</v>
      </c>
      <c r="BZ102" s="578">
        <v>2611400.1800000002</v>
      </c>
      <c r="CA102" s="578">
        <v>2653466.88</v>
      </c>
      <c r="CB102" s="578">
        <v>8495.5</v>
      </c>
      <c r="CC102" s="578">
        <v>0</v>
      </c>
      <c r="CD102" s="578">
        <v>370668.42</v>
      </c>
    </row>
    <row r="103" spans="1:82" hidden="1" x14ac:dyDescent="0.3">
      <c r="A103" s="574" t="s">
        <v>1688</v>
      </c>
      <c r="B103" s="577">
        <v>3302021</v>
      </c>
      <c r="C103" s="574">
        <f>_xlfn.XLOOKUP(B103,'[1]Blade-Export_15-08-2022_sources'!B:B,'[1]Blade-Export_15-08-2022_sources'!F:F,0,FALSE)</f>
        <v>330</v>
      </c>
      <c r="D103" s="574">
        <f>_xlfn.XLOOKUP($B103,'[1]Blade-Export_15-08-2022_sources'!$B:$B,'[1]Blade-Export_15-08-2022_sources'!G:G,0,FALSE)</f>
        <v>2021</v>
      </c>
      <c r="E103" s="574" t="str">
        <f>_xlfn.XLOOKUP($B103,'[1]Blade-Export_15-08-2022_sources'!$B:$B,'[1]Blade-Export_15-08-2022_sources'!H:H,0,FALSE)</f>
        <v>PAGANEL JI NC</v>
      </c>
      <c r="F103" s="578">
        <v>468109.6</v>
      </c>
      <c r="G103" s="578">
        <v>0</v>
      </c>
      <c r="H103" s="578">
        <v>40351.08</v>
      </c>
      <c r="I103" s="578">
        <v>1854295.95</v>
      </c>
      <c r="J103" s="578">
        <v>0</v>
      </c>
      <c r="K103" s="578">
        <v>49645.08</v>
      </c>
      <c r="L103" s="578">
        <v>0</v>
      </c>
      <c r="M103" s="578">
        <v>286415</v>
      </c>
      <c r="N103" s="578">
        <v>6923.44</v>
      </c>
      <c r="O103" s="578">
        <v>0</v>
      </c>
      <c r="P103" s="578">
        <v>14833.83</v>
      </c>
      <c r="Q103" s="578">
        <v>540.97</v>
      </c>
      <c r="R103" s="578">
        <v>0</v>
      </c>
      <c r="S103" s="578">
        <v>0</v>
      </c>
      <c r="T103" s="578">
        <v>0</v>
      </c>
      <c r="U103" s="578">
        <v>0</v>
      </c>
      <c r="V103" s="578">
        <v>0</v>
      </c>
      <c r="W103" s="578"/>
      <c r="X103" s="578">
        <v>0</v>
      </c>
      <c r="Y103" s="578">
        <v>0</v>
      </c>
      <c r="Z103" s="578">
        <v>0</v>
      </c>
      <c r="AA103" s="578">
        <v>0</v>
      </c>
      <c r="AB103" s="578">
        <v>23684.94</v>
      </c>
      <c r="AC103" s="578">
        <v>11600</v>
      </c>
      <c r="AD103" s="578">
        <v>39892.5</v>
      </c>
      <c r="AE103" s="578">
        <v>1003248.54</v>
      </c>
      <c r="AF103" s="578">
        <v>0</v>
      </c>
      <c r="AG103" s="578">
        <v>312021.63</v>
      </c>
      <c r="AH103" s="578">
        <v>42311.96</v>
      </c>
      <c r="AI103" s="578">
        <v>253970.46</v>
      </c>
      <c r="AJ103" s="578">
        <v>0</v>
      </c>
      <c r="AK103" s="578">
        <v>32754.560000000001</v>
      </c>
      <c r="AL103" s="578">
        <v>2607.5</v>
      </c>
      <c r="AM103" s="578">
        <v>13648.1</v>
      </c>
      <c r="AN103" s="578">
        <v>0</v>
      </c>
      <c r="AO103" s="578">
        <v>0</v>
      </c>
      <c r="AP103" s="578">
        <v>72736.09</v>
      </c>
      <c r="AQ103" s="578">
        <v>6899.04</v>
      </c>
      <c r="AR103" s="578">
        <v>62393.66</v>
      </c>
      <c r="AS103" s="578">
        <v>8246.85</v>
      </c>
      <c r="AT103" s="578">
        <v>19192.080000000002</v>
      </c>
      <c r="AU103" s="578">
        <v>29072.639999999999</v>
      </c>
      <c r="AV103" s="578">
        <v>5700.6</v>
      </c>
      <c r="AW103" s="578">
        <v>112356.99</v>
      </c>
      <c r="AX103" s="578">
        <v>35505.54</v>
      </c>
      <c r="AY103" s="578">
        <v>0</v>
      </c>
      <c r="AZ103" s="578">
        <v>21324</v>
      </c>
      <c r="BA103" s="578">
        <v>8200</v>
      </c>
      <c r="BB103" s="578">
        <v>0</v>
      </c>
      <c r="BC103" s="578">
        <v>67666.880000000005</v>
      </c>
      <c r="BD103" s="578">
        <v>205662.34</v>
      </c>
      <c r="BE103" s="578">
        <v>416.11</v>
      </c>
      <c r="BF103" s="578">
        <v>53058.98</v>
      </c>
      <c r="BG103" s="578">
        <v>0</v>
      </c>
      <c r="BH103" s="578">
        <v>0</v>
      </c>
      <c r="BI103" s="578">
        <v>0</v>
      </c>
      <c r="BJ103" s="578">
        <v>0</v>
      </c>
      <c r="BK103" s="578">
        <v>0</v>
      </c>
      <c r="BL103" s="578">
        <v>8180.5</v>
      </c>
      <c r="BM103" s="578">
        <v>0</v>
      </c>
      <c r="BN103" s="578">
        <v>0</v>
      </c>
      <c r="BO103" s="578">
        <v>10000</v>
      </c>
      <c r="BP103" s="578">
        <v>0</v>
      </c>
      <c r="BQ103" s="578">
        <v>13987.4</v>
      </c>
      <c r="BR103" s="578">
        <v>0</v>
      </c>
      <c r="BS103" s="578">
        <v>0</v>
      </c>
      <c r="BT103" s="578">
        <v>0</v>
      </c>
      <c r="BU103" s="578">
        <v>386946.76</v>
      </c>
      <c r="BV103" s="578">
        <v>34544.18</v>
      </c>
      <c r="BW103" s="578">
        <v>0</v>
      </c>
      <c r="BX103" s="578">
        <v>0</v>
      </c>
      <c r="BY103" s="578">
        <v>0</v>
      </c>
      <c r="BZ103" s="578">
        <v>2287831.71</v>
      </c>
      <c r="CA103" s="578">
        <v>2368994.5499999998</v>
      </c>
      <c r="CB103" s="578">
        <v>8180.5</v>
      </c>
      <c r="CC103" s="578">
        <v>13987.4</v>
      </c>
      <c r="CD103" s="578">
        <v>421490.94</v>
      </c>
    </row>
    <row r="104" spans="1:82" hidden="1" x14ac:dyDescent="0.3">
      <c r="A104" s="574" t="s">
        <v>1689</v>
      </c>
      <c r="B104" s="577">
        <v>3303328</v>
      </c>
      <c r="C104" s="574">
        <f>_xlfn.XLOOKUP(B104,'[1]Blade-Export_15-08-2022_sources'!B:B,'[1]Blade-Export_15-08-2022_sources'!F:F,0,FALSE)</f>
        <v>330</v>
      </c>
      <c r="D104" s="574">
        <f>_xlfn.XLOOKUP($B104,'[1]Blade-Export_15-08-2022_sources'!$B:$B,'[1]Blade-Export_15-08-2022_sources'!G:G,0,FALSE)</f>
        <v>3328</v>
      </c>
      <c r="E104" s="574" t="str">
        <f>_xlfn.XLOOKUP($B104,'[1]Blade-Export_15-08-2022_sources'!$B:$B,'[1]Blade-Export_15-08-2022_sources'!H:H,0,FALSE)</f>
        <v>OUR LADY OF LOURDES RC JI NC</v>
      </c>
      <c r="F104" s="578">
        <v>258525.74</v>
      </c>
      <c r="G104" s="578">
        <v>0</v>
      </c>
      <c r="H104" s="578">
        <v>0</v>
      </c>
      <c r="I104" s="578">
        <v>1058227.07</v>
      </c>
      <c r="J104" s="578">
        <v>0</v>
      </c>
      <c r="K104" s="578">
        <v>40447.61</v>
      </c>
      <c r="L104" s="578">
        <v>0</v>
      </c>
      <c r="M104" s="578">
        <v>63215</v>
      </c>
      <c r="N104" s="578">
        <v>1594.69</v>
      </c>
      <c r="O104" s="578">
        <v>0</v>
      </c>
      <c r="P104" s="578">
        <v>86384.35</v>
      </c>
      <c r="Q104" s="578">
        <v>323.31</v>
      </c>
      <c r="R104" s="578">
        <v>0</v>
      </c>
      <c r="S104" s="578">
        <v>0</v>
      </c>
      <c r="T104" s="578">
        <v>0</v>
      </c>
      <c r="U104" s="578">
        <v>11963.58</v>
      </c>
      <c r="V104" s="578">
        <v>0</v>
      </c>
      <c r="W104" s="578"/>
      <c r="X104" s="578">
        <v>0</v>
      </c>
      <c r="Y104" s="578">
        <v>0</v>
      </c>
      <c r="Z104" s="578">
        <v>0</v>
      </c>
      <c r="AA104" s="578">
        <v>0</v>
      </c>
      <c r="AB104" s="578">
        <v>5002.1899999999996</v>
      </c>
      <c r="AC104" s="578">
        <v>6930</v>
      </c>
      <c r="AD104" s="578">
        <v>50655</v>
      </c>
      <c r="AE104" s="578">
        <v>665064.53</v>
      </c>
      <c r="AF104" s="578">
        <v>0</v>
      </c>
      <c r="AG104" s="578">
        <v>92422.78</v>
      </c>
      <c r="AH104" s="578">
        <v>7006.89</v>
      </c>
      <c r="AI104" s="578">
        <v>101656.01</v>
      </c>
      <c r="AJ104" s="578">
        <v>0</v>
      </c>
      <c r="AK104" s="578">
        <v>50701.919999999998</v>
      </c>
      <c r="AL104" s="578">
        <v>2589.3000000000002</v>
      </c>
      <c r="AM104" s="578">
        <v>640</v>
      </c>
      <c r="AN104" s="578">
        <v>0</v>
      </c>
      <c r="AO104" s="578">
        <v>0</v>
      </c>
      <c r="AP104" s="578">
        <v>69913.3</v>
      </c>
      <c r="AQ104" s="578">
        <v>230.11</v>
      </c>
      <c r="AR104" s="578">
        <v>2078.0100000000002</v>
      </c>
      <c r="AS104" s="578">
        <v>7963.73</v>
      </c>
      <c r="AT104" s="578">
        <v>10690.44</v>
      </c>
      <c r="AU104" s="578">
        <v>3190.27</v>
      </c>
      <c r="AV104" s="578">
        <v>3561.11</v>
      </c>
      <c r="AW104" s="578">
        <v>63508.47</v>
      </c>
      <c r="AX104" s="578">
        <v>507.65</v>
      </c>
      <c r="AY104" s="578">
        <v>0</v>
      </c>
      <c r="AZ104" s="578">
        <v>47284.82</v>
      </c>
      <c r="BA104" s="578">
        <v>7555.28</v>
      </c>
      <c r="BB104" s="578">
        <v>0</v>
      </c>
      <c r="BC104" s="578">
        <v>88708.38</v>
      </c>
      <c r="BD104" s="578">
        <v>383.94</v>
      </c>
      <c r="BE104" s="578">
        <v>476.62</v>
      </c>
      <c r="BF104" s="578">
        <v>125875.48</v>
      </c>
      <c r="BG104" s="578">
        <v>0</v>
      </c>
      <c r="BH104" s="578">
        <v>0</v>
      </c>
      <c r="BI104" s="578">
        <v>0</v>
      </c>
      <c r="BJ104" s="578">
        <v>0</v>
      </c>
      <c r="BK104" s="578">
        <v>0</v>
      </c>
      <c r="BL104" s="578">
        <v>0</v>
      </c>
      <c r="BM104" s="578">
        <v>0</v>
      </c>
      <c r="BN104" s="578">
        <v>0</v>
      </c>
      <c r="BO104" s="578">
        <v>10000</v>
      </c>
      <c r="BP104" s="578">
        <v>0</v>
      </c>
      <c r="BQ104" s="578">
        <v>0</v>
      </c>
      <c r="BR104" s="578">
        <v>0</v>
      </c>
      <c r="BS104" s="578">
        <v>0</v>
      </c>
      <c r="BT104" s="578">
        <v>0</v>
      </c>
      <c r="BU104" s="578">
        <v>231259.5</v>
      </c>
      <c r="BV104" s="578">
        <v>0</v>
      </c>
      <c r="BW104" s="578">
        <v>0</v>
      </c>
      <c r="BX104" s="578">
        <v>0</v>
      </c>
      <c r="BY104" s="578">
        <v>0</v>
      </c>
      <c r="BZ104" s="578">
        <v>1324742.8</v>
      </c>
      <c r="CA104" s="578">
        <v>1352009.04</v>
      </c>
      <c r="CB104" s="578">
        <v>0</v>
      </c>
      <c r="CC104" s="578">
        <v>0</v>
      </c>
      <c r="CD104" s="578">
        <v>231259.5</v>
      </c>
    </row>
    <row r="105" spans="1:82" hidden="1" x14ac:dyDescent="0.3">
      <c r="A105" s="579" t="s">
        <v>1690</v>
      </c>
      <c r="B105" s="577">
        <v>3303351</v>
      </c>
      <c r="C105" s="574">
        <f>_xlfn.XLOOKUP(B105,'[1]Blade-Export_15-08-2022_sources'!B:B,'[1]Blade-Export_15-08-2022_sources'!F:F,0,FALSE)</f>
        <v>330</v>
      </c>
      <c r="D105" s="574">
        <f>_xlfn.XLOOKUP($B105,'[1]Blade-Export_15-08-2022_sources'!$B:$B,'[1]Blade-Export_15-08-2022_sources'!G:G,0,FALSE)</f>
        <v>3351</v>
      </c>
      <c r="E105" s="574" t="str">
        <f>_xlfn.XLOOKUP($B105,'[1]Blade-Export_15-08-2022_sources'!$B:$B,'[1]Blade-Export_15-08-2022_sources'!H:H,0,FALSE)</f>
        <v>OUR LADY AND ST ROSE RC JI NC</v>
      </c>
      <c r="F105" s="578">
        <v>148842.54</v>
      </c>
      <c r="G105" s="578">
        <v>0</v>
      </c>
      <c r="H105" s="578">
        <v>0</v>
      </c>
      <c r="I105" s="578">
        <v>1124544.8</v>
      </c>
      <c r="J105" s="578">
        <v>0</v>
      </c>
      <c r="K105" s="578">
        <v>7474.17</v>
      </c>
      <c r="L105" s="578">
        <v>0</v>
      </c>
      <c r="M105" s="578">
        <v>125705</v>
      </c>
      <c r="N105" s="578">
        <v>2894.06</v>
      </c>
      <c r="O105" s="578">
        <v>0</v>
      </c>
      <c r="P105" s="578">
        <v>13285.76</v>
      </c>
      <c r="Q105" s="578">
        <v>208.38</v>
      </c>
      <c r="R105" s="578">
        <v>259.08</v>
      </c>
      <c r="S105" s="578">
        <v>0</v>
      </c>
      <c r="T105" s="578">
        <v>0</v>
      </c>
      <c r="U105" s="578">
        <v>6638.11</v>
      </c>
      <c r="V105" s="578">
        <v>0</v>
      </c>
      <c r="W105" s="578"/>
      <c r="X105" s="578">
        <v>0</v>
      </c>
      <c r="Y105" s="578">
        <v>0</v>
      </c>
      <c r="Z105" s="578">
        <v>0</v>
      </c>
      <c r="AA105" s="578">
        <v>0</v>
      </c>
      <c r="AB105" s="578">
        <v>9636.56</v>
      </c>
      <c r="AC105" s="578">
        <v>7000</v>
      </c>
      <c r="AD105" s="578">
        <v>27331</v>
      </c>
      <c r="AE105" s="578">
        <v>549834.36</v>
      </c>
      <c r="AF105" s="578">
        <v>0</v>
      </c>
      <c r="AG105" s="578">
        <v>246819.77</v>
      </c>
      <c r="AH105" s="578">
        <v>36511.1</v>
      </c>
      <c r="AI105" s="578">
        <v>118072.22</v>
      </c>
      <c r="AJ105" s="578">
        <v>0</v>
      </c>
      <c r="AK105" s="578">
        <v>8252.66</v>
      </c>
      <c r="AL105" s="578">
        <v>1070.01</v>
      </c>
      <c r="AM105" s="578">
        <v>2747.69</v>
      </c>
      <c r="AN105" s="578">
        <v>0</v>
      </c>
      <c r="AO105" s="578">
        <v>0</v>
      </c>
      <c r="AP105" s="578">
        <v>44711.34</v>
      </c>
      <c r="AQ105" s="578">
        <v>1064.5999999999999</v>
      </c>
      <c r="AR105" s="578">
        <v>1949.43</v>
      </c>
      <c r="AS105" s="578">
        <v>2829.37</v>
      </c>
      <c r="AT105" s="578">
        <v>16232.64</v>
      </c>
      <c r="AU105" s="578">
        <v>3344.64</v>
      </c>
      <c r="AV105" s="578">
        <v>4476.7</v>
      </c>
      <c r="AW105" s="578">
        <v>54423.22</v>
      </c>
      <c r="AX105" s="578">
        <v>28521.77</v>
      </c>
      <c r="AY105" s="578">
        <v>0</v>
      </c>
      <c r="AZ105" s="578">
        <v>14033.69</v>
      </c>
      <c r="BA105" s="578">
        <v>5098.66</v>
      </c>
      <c r="BB105" s="578">
        <v>0</v>
      </c>
      <c r="BC105" s="578">
        <v>61303.11</v>
      </c>
      <c r="BD105" s="578">
        <v>0</v>
      </c>
      <c r="BE105" s="578">
        <v>0</v>
      </c>
      <c r="BF105" s="578">
        <v>84188.95</v>
      </c>
      <c r="BG105" s="578">
        <v>0</v>
      </c>
      <c r="BH105" s="578">
        <v>0</v>
      </c>
      <c r="BI105" s="578">
        <v>22075.19</v>
      </c>
      <c r="BJ105" s="578">
        <v>0</v>
      </c>
      <c r="BK105" s="578">
        <v>0</v>
      </c>
      <c r="BL105" s="578">
        <v>0</v>
      </c>
      <c r="BM105" s="578">
        <v>0</v>
      </c>
      <c r="BN105" s="578">
        <v>0</v>
      </c>
      <c r="BO105" s="578">
        <v>10000</v>
      </c>
      <c r="BP105" s="578">
        <v>0</v>
      </c>
      <c r="BQ105" s="578">
        <v>0</v>
      </c>
      <c r="BR105" s="578">
        <v>0</v>
      </c>
      <c r="BS105" s="578">
        <v>0</v>
      </c>
      <c r="BT105" s="578">
        <v>0</v>
      </c>
      <c r="BU105" s="578">
        <v>166258.34</v>
      </c>
      <c r="BV105" s="578">
        <v>0</v>
      </c>
      <c r="BW105" s="578">
        <v>0</v>
      </c>
      <c r="BX105" s="578">
        <v>0</v>
      </c>
      <c r="BY105" s="578">
        <v>0</v>
      </c>
      <c r="BZ105" s="578">
        <v>1324976.92</v>
      </c>
      <c r="CA105" s="578">
        <v>1307561.1200000001</v>
      </c>
      <c r="CB105" s="578">
        <v>0</v>
      </c>
      <c r="CC105" s="578">
        <v>0</v>
      </c>
      <c r="CD105" s="578">
        <v>166258.34</v>
      </c>
    </row>
    <row r="106" spans="1:82" hidden="1" x14ac:dyDescent="0.3">
      <c r="A106" s="574" t="s">
        <v>1691</v>
      </c>
      <c r="B106" s="577">
        <v>3307053</v>
      </c>
      <c r="C106" s="574">
        <f>_xlfn.XLOOKUP(B106,'[1]Blade-Export_15-08-2022_sources'!B:B,'[1]Blade-Export_15-08-2022_sources'!F:F,0,FALSE)</f>
        <v>330</v>
      </c>
      <c r="D106" s="574">
        <f>_xlfn.XLOOKUP($B106,'[1]Blade-Export_15-08-2022_sources'!$B:$B,'[1]Blade-Export_15-08-2022_sources'!G:G,0,FALSE)</f>
        <v>7053</v>
      </c>
      <c r="E106" s="574" t="str">
        <f>_xlfn.XLOOKUP($B106,'[1]Blade-Export_15-08-2022_sources'!$B:$B,'[1]Blade-Export_15-08-2022_sources'!H:H,0,FALSE)</f>
        <v>OSCOTT MANOR Spec</v>
      </c>
      <c r="F106" s="578">
        <v>358353.15</v>
      </c>
      <c r="G106" s="578">
        <v>0</v>
      </c>
      <c r="H106" s="578">
        <v>26555.759999999998</v>
      </c>
      <c r="I106" s="578">
        <v>2869120.95</v>
      </c>
      <c r="J106" s="578">
        <v>1943.16</v>
      </c>
      <c r="K106" s="578">
        <v>0</v>
      </c>
      <c r="L106" s="578">
        <v>0</v>
      </c>
      <c r="M106" s="578">
        <v>42455</v>
      </c>
      <c r="N106" s="578">
        <v>13069.69</v>
      </c>
      <c r="O106" s="578">
        <v>0</v>
      </c>
      <c r="P106" s="578">
        <v>105992.49</v>
      </c>
      <c r="Q106" s="578">
        <v>501.69</v>
      </c>
      <c r="R106" s="578">
        <v>0</v>
      </c>
      <c r="S106" s="578">
        <v>0</v>
      </c>
      <c r="T106" s="578">
        <v>0</v>
      </c>
      <c r="U106" s="578">
        <v>77</v>
      </c>
      <c r="V106" s="578">
        <v>0</v>
      </c>
      <c r="W106" s="578"/>
      <c r="X106" s="578">
        <v>0</v>
      </c>
      <c r="Y106" s="578">
        <v>0</v>
      </c>
      <c r="Z106" s="578">
        <v>0</v>
      </c>
      <c r="AA106" s="578">
        <v>0</v>
      </c>
      <c r="AB106" s="578">
        <v>34624.69</v>
      </c>
      <c r="AC106" s="578">
        <v>11600</v>
      </c>
      <c r="AD106" s="578">
        <v>1710</v>
      </c>
      <c r="AE106" s="578">
        <v>955743.8</v>
      </c>
      <c r="AF106" s="578">
        <v>0</v>
      </c>
      <c r="AG106" s="578">
        <v>870716.71</v>
      </c>
      <c r="AH106" s="578">
        <v>87256.14</v>
      </c>
      <c r="AI106" s="578">
        <v>82172.52</v>
      </c>
      <c r="AJ106" s="578">
        <v>524.34</v>
      </c>
      <c r="AK106" s="578">
        <v>223203.49</v>
      </c>
      <c r="AL106" s="578">
        <v>5389.16</v>
      </c>
      <c r="AM106" s="578">
        <v>17304.580000000002</v>
      </c>
      <c r="AN106" s="578">
        <v>0</v>
      </c>
      <c r="AO106" s="578">
        <v>0</v>
      </c>
      <c r="AP106" s="578">
        <v>4324.82</v>
      </c>
      <c r="AQ106" s="578">
        <v>757.66</v>
      </c>
      <c r="AR106" s="578">
        <v>7549.5</v>
      </c>
      <c r="AS106" s="578">
        <v>1648.25</v>
      </c>
      <c r="AT106" s="578">
        <v>22035.13</v>
      </c>
      <c r="AU106" s="578">
        <v>0</v>
      </c>
      <c r="AV106" s="578">
        <v>7853.06</v>
      </c>
      <c r="AW106" s="578">
        <v>85550.39</v>
      </c>
      <c r="AX106" s="578">
        <v>27741.62</v>
      </c>
      <c r="AY106" s="578">
        <v>8080.62</v>
      </c>
      <c r="AZ106" s="578">
        <v>67088.88</v>
      </c>
      <c r="BA106" s="578">
        <v>2850</v>
      </c>
      <c r="BB106" s="578">
        <v>0</v>
      </c>
      <c r="BC106" s="578">
        <v>15121.79</v>
      </c>
      <c r="BD106" s="578">
        <v>100939.82</v>
      </c>
      <c r="BE106" s="578">
        <v>20743.580000000002</v>
      </c>
      <c r="BF106" s="578">
        <v>156885.34</v>
      </c>
      <c r="BG106" s="578">
        <v>0</v>
      </c>
      <c r="BH106" s="578">
        <v>0</v>
      </c>
      <c r="BI106" s="578">
        <v>0</v>
      </c>
      <c r="BJ106" s="578">
        <v>0</v>
      </c>
      <c r="BK106" s="578">
        <v>0</v>
      </c>
      <c r="BL106" s="578">
        <v>9568.75</v>
      </c>
      <c r="BM106" s="578">
        <v>0</v>
      </c>
      <c r="BN106" s="578">
        <v>0</v>
      </c>
      <c r="BO106" s="578">
        <v>10000</v>
      </c>
      <c r="BP106" s="578">
        <v>0</v>
      </c>
      <c r="BQ106" s="578">
        <v>24034.63</v>
      </c>
      <c r="BR106" s="578">
        <v>0</v>
      </c>
      <c r="BS106" s="578">
        <v>0</v>
      </c>
      <c r="BT106" s="578">
        <v>0</v>
      </c>
      <c r="BU106" s="578">
        <v>667966.61</v>
      </c>
      <c r="BV106" s="578">
        <v>12089.88</v>
      </c>
      <c r="BW106" s="578">
        <v>0</v>
      </c>
      <c r="BX106" s="578">
        <v>0</v>
      </c>
      <c r="BY106" s="578">
        <v>0</v>
      </c>
      <c r="BZ106" s="578">
        <v>3081094.67</v>
      </c>
      <c r="CA106" s="578">
        <v>2771481.2</v>
      </c>
      <c r="CB106" s="578">
        <v>9568.75</v>
      </c>
      <c r="CC106" s="578">
        <v>24034.63</v>
      </c>
      <c r="CD106" s="578">
        <v>680056.49</v>
      </c>
    </row>
    <row r="107" spans="1:82" hidden="1" x14ac:dyDescent="0.3">
      <c r="A107" s="574" t="s">
        <v>1692</v>
      </c>
      <c r="B107" s="577">
        <v>3301049</v>
      </c>
      <c r="C107" s="574">
        <f>_xlfn.XLOOKUP(B107,'[1]Blade-Export_15-08-2022_sources'!B:B,'[1]Blade-Export_15-08-2022_sources'!F:F,0,FALSE)</f>
        <v>330</v>
      </c>
      <c r="D107" s="574">
        <f>_xlfn.XLOOKUP($B107,'[1]Blade-Export_15-08-2022_sources'!$B:$B,'[1]Blade-Export_15-08-2022_sources'!G:G,0,FALSE)</f>
        <v>1049</v>
      </c>
      <c r="E107" s="574" t="str">
        <f>_xlfn.XLOOKUP($B107,'[1]Blade-Export_15-08-2022_sources'!$B:$B,'[1]Blade-Export_15-08-2022_sources'!H:H,0,FALSE)</f>
        <v>OSBORNE Nurs</v>
      </c>
      <c r="F107" s="578">
        <v>244571.72</v>
      </c>
      <c r="G107" s="578">
        <v>0</v>
      </c>
      <c r="H107" s="578">
        <v>11787.26</v>
      </c>
      <c r="I107" s="578">
        <v>519959.22</v>
      </c>
      <c r="J107" s="578">
        <v>0</v>
      </c>
      <c r="K107" s="578">
        <v>15548.09</v>
      </c>
      <c r="L107" s="578">
        <v>0</v>
      </c>
      <c r="M107" s="578">
        <v>0</v>
      </c>
      <c r="N107" s="578">
        <v>0</v>
      </c>
      <c r="O107" s="578">
        <v>0</v>
      </c>
      <c r="P107" s="578">
        <v>84830.92</v>
      </c>
      <c r="Q107" s="578">
        <v>342.4</v>
      </c>
      <c r="R107" s="578">
        <v>225</v>
      </c>
      <c r="S107" s="578">
        <v>0</v>
      </c>
      <c r="T107" s="578">
        <v>0</v>
      </c>
      <c r="U107" s="578">
        <v>9110.7000000000007</v>
      </c>
      <c r="V107" s="578">
        <v>0</v>
      </c>
      <c r="W107" s="578"/>
      <c r="X107" s="578">
        <v>0</v>
      </c>
      <c r="Y107" s="578">
        <v>0</v>
      </c>
      <c r="Z107" s="578">
        <v>0</v>
      </c>
      <c r="AA107" s="578">
        <v>0</v>
      </c>
      <c r="AB107" s="578">
        <v>0</v>
      </c>
      <c r="AC107" s="578">
        <v>0</v>
      </c>
      <c r="AD107" s="578">
        <v>0</v>
      </c>
      <c r="AE107" s="578">
        <v>154808.13</v>
      </c>
      <c r="AF107" s="578">
        <v>6611.39</v>
      </c>
      <c r="AG107" s="578">
        <v>125684.86</v>
      </c>
      <c r="AH107" s="578">
        <v>18814.560000000001</v>
      </c>
      <c r="AI107" s="578">
        <v>95308.44</v>
      </c>
      <c r="AJ107" s="578">
        <v>0</v>
      </c>
      <c r="AK107" s="578">
        <v>16454.88</v>
      </c>
      <c r="AL107" s="578">
        <v>552.79999999999995</v>
      </c>
      <c r="AM107" s="578">
        <v>2589</v>
      </c>
      <c r="AN107" s="578">
        <v>0</v>
      </c>
      <c r="AO107" s="578">
        <v>0</v>
      </c>
      <c r="AP107" s="578">
        <v>5024.34</v>
      </c>
      <c r="AQ107" s="578">
        <v>0</v>
      </c>
      <c r="AR107" s="578">
        <v>0</v>
      </c>
      <c r="AS107" s="578">
        <v>137.97999999999999</v>
      </c>
      <c r="AT107" s="578">
        <v>4733.38</v>
      </c>
      <c r="AU107" s="578">
        <v>8358.25</v>
      </c>
      <c r="AV107" s="578">
        <v>3378.34</v>
      </c>
      <c r="AW107" s="578">
        <v>14272.12</v>
      </c>
      <c r="AX107" s="578">
        <v>9965</v>
      </c>
      <c r="AY107" s="578">
        <v>0</v>
      </c>
      <c r="AZ107" s="578">
        <v>7524.22</v>
      </c>
      <c r="BA107" s="578">
        <v>2850</v>
      </c>
      <c r="BB107" s="578">
        <v>0</v>
      </c>
      <c r="BC107" s="578">
        <v>8055</v>
      </c>
      <c r="BD107" s="578">
        <v>25070.41</v>
      </c>
      <c r="BE107" s="578">
        <v>995</v>
      </c>
      <c r="BF107" s="578">
        <v>26376.95</v>
      </c>
      <c r="BG107" s="578">
        <v>0</v>
      </c>
      <c r="BH107" s="578">
        <v>0</v>
      </c>
      <c r="BI107" s="578">
        <v>0</v>
      </c>
      <c r="BJ107" s="578">
        <v>0</v>
      </c>
      <c r="BK107" s="578">
        <v>0</v>
      </c>
      <c r="BL107" s="578">
        <v>4899.1000000000004</v>
      </c>
      <c r="BM107" s="578">
        <v>0</v>
      </c>
      <c r="BN107" s="578">
        <v>0</v>
      </c>
      <c r="BO107" s="578">
        <v>10000</v>
      </c>
      <c r="BP107" s="578">
        <v>0</v>
      </c>
      <c r="BQ107" s="578">
        <v>0</v>
      </c>
      <c r="BR107" s="578">
        <v>0</v>
      </c>
      <c r="BS107" s="578">
        <v>0</v>
      </c>
      <c r="BT107" s="578">
        <v>0</v>
      </c>
      <c r="BU107" s="578">
        <v>337022.99</v>
      </c>
      <c r="BV107" s="578">
        <v>16686.36</v>
      </c>
      <c r="BW107" s="578">
        <v>0</v>
      </c>
      <c r="BX107" s="578">
        <v>0</v>
      </c>
      <c r="BY107" s="578">
        <v>0</v>
      </c>
      <c r="BZ107" s="578">
        <v>630016.32999999996</v>
      </c>
      <c r="CA107" s="578">
        <v>537565.05000000005</v>
      </c>
      <c r="CB107" s="578">
        <v>4899.1000000000004</v>
      </c>
      <c r="CC107" s="578">
        <v>0</v>
      </c>
      <c r="CD107" s="578">
        <v>353709.35</v>
      </c>
    </row>
    <row r="108" spans="1:82" hidden="1" x14ac:dyDescent="0.3">
      <c r="A108" s="574" t="s">
        <v>1693</v>
      </c>
      <c r="B108" s="577">
        <v>3301028</v>
      </c>
      <c r="C108" s="574">
        <f>_xlfn.XLOOKUP(B108,'[1]Blade-Export_15-08-2022_sources'!B:B,'[1]Blade-Export_15-08-2022_sources'!F:F,0,FALSE)</f>
        <v>330</v>
      </c>
      <c r="D108" s="574">
        <f>_xlfn.XLOOKUP($B108,'[1]Blade-Export_15-08-2022_sources'!$B:$B,'[1]Blade-Export_15-08-2022_sources'!G:G,0,FALSE)</f>
        <v>1028</v>
      </c>
      <c r="E108" s="574" t="str">
        <f>_xlfn.XLOOKUP($B108,'[1]Blade-Export_15-08-2022_sources'!$B:$B,'[1]Blade-Export_15-08-2022_sources'!H:H,0,FALSE)</f>
        <v>NEWTOWN Nurs</v>
      </c>
      <c r="F108" s="578">
        <v>66119.91</v>
      </c>
      <c r="G108" s="578">
        <v>0</v>
      </c>
      <c r="H108" s="578">
        <v>13989.29</v>
      </c>
      <c r="I108" s="578">
        <v>487811.22</v>
      </c>
      <c r="J108" s="578">
        <v>0</v>
      </c>
      <c r="K108" s="578">
        <v>4175</v>
      </c>
      <c r="L108" s="578">
        <v>0</v>
      </c>
      <c r="M108" s="578">
        <v>0</v>
      </c>
      <c r="N108" s="578">
        <v>0</v>
      </c>
      <c r="O108" s="578">
        <v>0</v>
      </c>
      <c r="P108" s="578">
        <v>1002.02</v>
      </c>
      <c r="Q108" s="578">
        <v>0</v>
      </c>
      <c r="R108" s="578">
        <v>0</v>
      </c>
      <c r="S108" s="578">
        <v>0</v>
      </c>
      <c r="T108" s="578">
        <v>0</v>
      </c>
      <c r="U108" s="578">
        <v>10647.32</v>
      </c>
      <c r="V108" s="578">
        <v>0</v>
      </c>
      <c r="W108" s="578"/>
      <c r="X108" s="578">
        <v>0</v>
      </c>
      <c r="Y108" s="578">
        <v>0</v>
      </c>
      <c r="Z108" s="578">
        <v>0</v>
      </c>
      <c r="AA108" s="578">
        <v>0</v>
      </c>
      <c r="AB108" s="578">
        <v>0</v>
      </c>
      <c r="AC108" s="578">
        <v>0</v>
      </c>
      <c r="AD108" s="578">
        <v>0</v>
      </c>
      <c r="AE108" s="578">
        <v>132249.60999999999</v>
      </c>
      <c r="AF108" s="578">
        <v>0</v>
      </c>
      <c r="AG108" s="578">
        <v>182233.52</v>
      </c>
      <c r="AH108" s="578">
        <v>10396.700000000001</v>
      </c>
      <c r="AI108" s="578">
        <v>85769.78</v>
      </c>
      <c r="AJ108" s="578">
        <v>0</v>
      </c>
      <c r="AK108" s="578">
        <v>9462.73</v>
      </c>
      <c r="AL108" s="578">
        <v>6248.1</v>
      </c>
      <c r="AM108" s="578">
        <v>1615.97</v>
      </c>
      <c r="AN108" s="578">
        <v>0</v>
      </c>
      <c r="AO108" s="578">
        <v>0</v>
      </c>
      <c r="AP108" s="578">
        <v>3811.48</v>
      </c>
      <c r="AQ108" s="578">
        <v>476</v>
      </c>
      <c r="AR108" s="578">
        <v>1023.94</v>
      </c>
      <c r="AS108" s="578">
        <v>1457.15</v>
      </c>
      <c r="AT108" s="578">
        <v>4585.63</v>
      </c>
      <c r="AU108" s="578">
        <v>6986</v>
      </c>
      <c r="AV108" s="578">
        <v>5185.79</v>
      </c>
      <c r="AW108" s="578">
        <v>45335.99</v>
      </c>
      <c r="AX108" s="578">
        <v>1514.85</v>
      </c>
      <c r="AY108" s="578">
        <v>0</v>
      </c>
      <c r="AZ108" s="578">
        <v>4338.18</v>
      </c>
      <c r="BA108" s="578">
        <v>3032</v>
      </c>
      <c r="BB108" s="578">
        <v>0</v>
      </c>
      <c r="BC108" s="578">
        <v>9574.2800000000007</v>
      </c>
      <c r="BD108" s="578">
        <v>112233.54</v>
      </c>
      <c r="BE108" s="578">
        <v>453.71</v>
      </c>
      <c r="BF108" s="578">
        <v>18564.04</v>
      </c>
      <c r="BG108" s="578">
        <v>0</v>
      </c>
      <c r="BH108" s="578">
        <v>0</v>
      </c>
      <c r="BI108" s="578">
        <v>0</v>
      </c>
      <c r="BJ108" s="578">
        <v>0</v>
      </c>
      <c r="BK108" s="578">
        <v>0</v>
      </c>
      <c r="BL108" s="578">
        <v>4859.95</v>
      </c>
      <c r="BM108" s="578">
        <v>0</v>
      </c>
      <c r="BN108" s="578">
        <v>0</v>
      </c>
      <c r="BO108" s="578">
        <v>10000</v>
      </c>
      <c r="BP108" s="578">
        <v>0</v>
      </c>
      <c r="BQ108" s="578">
        <v>0</v>
      </c>
      <c r="BR108" s="578">
        <v>0</v>
      </c>
      <c r="BS108" s="578">
        <v>0</v>
      </c>
      <c r="BT108" s="578">
        <v>0</v>
      </c>
      <c r="BU108" s="578">
        <v>-76793.52</v>
      </c>
      <c r="BV108" s="578">
        <v>18849.240000000002</v>
      </c>
      <c r="BW108" s="578">
        <v>0</v>
      </c>
      <c r="BX108" s="578">
        <v>0</v>
      </c>
      <c r="BY108" s="578">
        <v>0</v>
      </c>
      <c r="BZ108" s="578">
        <v>503635.56</v>
      </c>
      <c r="CA108" s="578">
        <v>646548.99</v>
      </c>
      <c r="CB108" s="578">
        <v>4859.95</v>
      </c>
      <c r="CC108" s="578">
        <v>0</v>
      </c>
      <c r="CD108" s="578">
        <v>-57944.28</v>
      </c>
    </row>
    <row r="109" spans="1:82" hidden="1" x14ac:dyDescent="0.3">
      <c r="A109" s="574" t="s">
        <v>1694</v>
      </c>
      <c r="B109" s="577">
        <v>3303431</v>
      </c>
      <c r="C109" s="574">
        <f>_xlfn.XLOOKUP(B109,'[1]Blade-Export_15-08-2022_sources'!B:B,'[1]Blade-Export_15-08-2022_sources'!F:F,0,FALSE)</f>
        <v>330</v>
      </c>
      <c r="D109" s="574">
        <f>_xlfn.XLOOKUP($B109,'[1]Blade-Export_15-08-2022_sources'!$B:$B,'[1]Blade-Export_15-08-2022_sources'!G:G,0,FALSE)</f>
        <v>3431</v>
      </c>
      <c r="E109" s="574" t="str">
        <f>_xlfn.XLOOKUP($B109,'[1]Blade-Export_15-08-2022_sources'!$B:$B,'[1]Blade-Export_15-08-2022_sources'!H:H,0,FALSE)</f>
        <v>NEW OSCOTT JI NC</v>
      </c>
      <c r="F109" s="578">
        <v>54145.4</v>
      </c>
      <c r="G109" s="578">
        <v>0</v>
      </c>
      <c r="H109" s="578">
        <v>13282.23</v>
      </c>
      <c r="I109" s="578">
        <v>2815023.12</v>
      </c>
      <c r="J109" s="578">
        <v>0</v>
      </c>
      <c r="K109" s="578">
        <v>92828.25</v>
      </c>
      <c r="L109" s="578">
        <v>0</v>
      </c>
      <c r="M109" s="578">
        <v>145190</v>
      </c>
      <c r="N109" s="578">
        <v>3484.69</v>
      </c>
      <c r="O109" s="578">
        <v>0</v>
      </c>
      <c r="P109" s="578">
        <v>562.09</v>
      </c>
      <c r="Q109" s="578">
        <v>69.099999999999994</v>
      </c>
      <c r="R109" s="578">
        <v>0</v>
      </c>
      <c r="S109" s="578">
        <v>0</v>
      </c>
      <c r="T109" s="578">
        <v>0</v>
      </c>
      <c r="U109" s="578">
        <v>211783.67</v>
      </c>
      <c r="V109" s="578">
        <v>0</v>
      </c>
      <c r="W109" s="578"/>
      <c r="X109" s="578">
        <v>0</v>
      </c>
      <c r="Y109" s="578">
        <v>0</v>
      </c>
      <c r="Z109" s="578">
        <v>0</v>
      </c>
      <c r="AA109" s="578">
        <v>0</v>
      </c>
      <c r="AB109" s="578">
        <v>10761.56</v>
      </c>
      <c r="AC109" s="578">
        <v>20900</v>
      </c>
      <c r="AD109" s="578">
        <v>121862</v>
      </c>
      <c r="AE109" s="578">
        <v>1667686.3</v>
      </c>
      <c r="AF109" s="578">
        <v>2884.18</v>
      </c>
      <c r="AG109" s="578">
        <v>556060.5</v>
      </c>
      <c r="AH109" s="578">
        <v>12473.1</v>
      </c>
      <c r="AI109" s="578">
        <v>302300.48</v>
      </c>
      <c r="AJ109" s="578">
        <v>0</v>
      </c>
      <c r="AK109" s="578">
        <v>160044.25</v>
      </c>
      <c r="AL109" s="578">
        <v>2425.6999999999998</v>
      </c>
      <c r="AM109" s="578">
        <v>1615</v>
      </c>
      <c r="AN109" s="578">
        <v>0</v>
      </c>
      <c r="AO109" s="578">
        <v>0</v>
      </c>
      <c r="AP109" s="578">
        <v>19354.650000000001</v>
      </c>
      <c r="AQ109" s="578">
        <v>3494.32</v>
      </c>
      <c r="AR109" s="578">
        <v>66710.240000000005</v>
      </c>
      <c r="AS109" s="578">
        <v>7632.44</v>
      </c>
      <c r="AT109" s="578">
        <v>47893.71</v>
      </c>
      <c r="AU109" s="578">
        <v>43480.32</v>
      </c>
      <c r="AV109" s="578">
        <v>18692.759999999998</v>
      </c>
      <c r="AW109" s="578">
        <v>125491.05</v>
      </c>
      <c r="AX109" s="578">
        <v>19532.330000000002</v>
      </c>
      <c r="AY109" s="578">
        <v>0</v>
      </c>
      <c r="AZ109" s="578">
        <v>33344.01</v>
      </c>
      <c r="BA109" s="578">
        <v>16230</v>
      </c>
      <c r="BB109" s="578">
        <v>0</v>
      </c>
      <c r="BC109" s="578">
        <v>95671.34</v>
      </c>
      <c r="BD109" s="578">
        <v>112812</v>
      </c>
      <c r="BE109" s="578">
        <v>26630.51</v>
      </c>
      <c r="BF109" s="578">
        <v>84721.76</v>
      </c>
      <c r="BG109" s="578">
        <v>0</v>
      </c>
      <c r="BH109" s="578">
        <v>0</v>
      </c>
      <c r="BI109" s="578">
        <v>0</v>
      </c>
      <c r="BJ109" s="578">
        <v>0</v>
      </c>
      <c r="BK109" s="578">
        <v>0</v>
      </c>
      <c r="BL109" s="578">
        <v>11479</v>
      </c>
      <c r="BM109" s="578">
        <v>0</v>
      </c>
      <c r="BN109" s="578">
        <v>0</v>
      </c>
      <c r="BO109" s="578">
        <v>10000</v>
      </c>
      <c r="BP109" s="578">
        <v>0</v>
      </c>
      <c r="BQ109" s="578">
        <v>0</v>
      </c>
      <c r="BR109" s="578">
        <v>3940.34</v>
      </c>
      <c r="BS109" s="578">
        <v>3613.44</v>
      </c>
      <c r="BT109" s="578">
        <v>0</v>
      </c>
      <c r="BU109" s="578">
        <v>49428.92</v>
      </c>
      <c r="BV109" s="578">
        <v>17207.45</v>
      </c>
      <c r="BW109" s="578">
        <v>0</v>
      </c>
      <c r="BX109" s="578">
        <v>0</v>
      </c>
      <c r="BY109" s="578">
        <v>0</v>
      </c>
      <c r="BZ109" s="578">
        <v>3422464.48</v>
      </c>
      <c r="CA109" s="578">
        <v>3427180.95</v>
      </c>
      <c r="CB109" s="578">
        <v>11479</v>
      </c>
      <c r="CC109" s="578">
        <v>7553.78</v>
      </c>
      <c r="CD109" s="578">
        <v>66636.37</v>
      </c>
    </row>
    <row r="110" spans="1:82" hidden="1" x14ac:dyDescent="0.3">
      <c r="A110" s="574" t="s">
        <v>1695</v>
      </c>
      <c r="B110" s="577">
        <v>3302469</v>
      </c>
      <c r="C110" s="574">
        <f>_xlfn.XLOOKUP(B110,'[1]Blade-Export_15-08-2022_sources'!B:B,'[1]Blade-Export_15-08-2022_sources'!F:F,0,FALSE)</f>
        <v>330</v>
      </c>
      <c r="D110" s="574">
        <f>_xlfn.XLOOKUP($B110,'[1]Blade-Export_15-08-2022_sources'!$B:$B,'[1]Blade-Export_15-08-2022_sources'!G:G,0,FALSE)</f>
        <v>2469</v>
      </c>
      <c r="E110" s="574" t="str">
        <f>_xlfn.XLOOKUP($B110,'[1]Blade-Export_15-08-2022_sources'!$B:$B,'[1]Blade-Export_15-08-2022_sources'!H:H,0,FALSE)</f>
        <v>NEW HALL JI NC</v>
      </c>
      <c r="F110" s="578">
        <v>330595.18</v>
      </c>
      <c r="G110" s="578">
        <v>0</v>
      </c>
      <c r="H110" s="578">
        <v>4853.1499999999996</v>
      </c>
      <c r="I110" s="578">
        <v>1594289.11</v>
      </c>
      <c r="J110" s="578">
        <v>0</v>
      </c>
      <c r="K110" s="578">
        <v>8515</v>
      </c>
      <c r="L110" s="578">
        <v>0</v>
      </c>
      <c r="M110" s="578">
        <v>216475</v>
      </c>
      <c r="N110" s="578">
        <v>5079.38</v>
      </c>
      <c r="O110" s="578">
        <v>0</v>
      </c>
      <c r="P110" s="578">
        <v>170336.38</v>
      </c>
      <c r="Q110" s="578">
        <v>462.83</v>
      </c>
      <c r="R110" s="578">
        <v>39.78</v>
      </c>
      <c r="S110" s="578">
        <v>0</v>
      </c>
      <c r="T110" s="578">
        <v>0</v>
      </c>
      <c r="U110" s="578">
        <v>10620.94</v>
      </c>
      <c r="V110" s="578">
        <v>0</v>
      </c>
      <c r="W110" s="578"/>
      <c r="X110" s="578">
        <v>0</v>
      </c>
      <c r="Y110" s="578">
        <v>0</v>
      </c>
      <c r="Z110" s="578">
        <v>0</v>
      </c>
      <c r="AA110" s="578">
        <v>0</v>
      </c>
      <c r="AB110" s="578">
        <v>16461.88</v>
      </c>
      <c r="AC110" s="578">
        <v>10660</v>
      </c>
      <c r="AD110" s="578">
        <v>42033</v>
      </c>
      <c r="AE110" s="578">
        <v>992622.66</v>
      </c>
      <c r="AF110" s="578">
        <v>31.9</v>
      </c>
      <c r="AG110" s="578">
        <v>205001</v>
      </c>
      <c r="AH110" s="578">
        <v>90729.88</v>
      </c>
      <c r="AI110" s="578">
        <v>158826.53</v>
      </c>
      <c r="AJ110" s="578">
        <v>57579.34</v>
      </c>
      <c r="AK110" s="578">
        <v>80829.75</v>
      </c>
      <c r="AL110" s="578">
        <v>1338.75</v>
      </c>
      <c r="AM110" s="578">
        <v>3727</v>
      </c>
      <c r="AN110" s="578">
        <v>0</v>
      </c>
      <c r="AO110" s="578">
        <v>0</v>
      </c>
      <c r="AP110" s="578">
        <v>13715.3</v>
      </c>
      <c r="AQ110" s="578">
        <v>4563.29</v>
      </c>
      <c r="AR110" s="578">
        <v>4634.07</v>
      </c>
      <c r="AS110" s="578">
        <v>8774.4699999999993</v>
      </c>
      <c r="AT110" s="578">
        <v>30900.28</v>
      </c>
      <c r="AU110" s="578">
        <v>29844.48</v>
      </c>
      <c r="AV110" s="578">
        <v>5269.22</v>
      </c>
      <c r="AW110" s="578">
        <v>54052.36</v>
      </c>
      <c r="AX110" s="578">
        <v>7260.05</v>
      </c>
      <c r="AY110" s="578">
        <v>0</v>
      </c>
      <c r="AZ110" s="578">
        <v>27595.47</v>
      </c>
      <c r="BA110" s="578">
        <v>8200</v>
      </c>
      <c r="BB110" s="578">
        <v>0</v>
      </c>
      <c r="BC110" s="578">
        <v>29330.11</v>
      </c>
      <c r="BD110" s="578">
        <v>2292</v>
      </c>
      <c r="BE110" s="578">
        <v>1000</v>
      </c>
      <c r="BF110" s="578">
        <v>145783.93</v>
      </c>
      <c r="BG110" s="578">
        <v>0</v>
      </c>
      <c r="BH110" s="578">
        <v>0</v>
      </c>
      <c r="BI110" s="578">
        <v>0</v>
      </c>
      <c r="BJ110" s="578">
        <v>0</v>
      </c>
      <c r="BK110" s="578">
        <v>0</v>
      </c>
      <c r="BL110" s="578">
        <v>7701.25</v>
      </c>
      <c r="BM110" s="578">
        <v>0</v>
      </c>
      <c r="BN110" s="578">
        <v>0</v>
      </c>
      <c r="BO110" s="578">
        <v>10000</v>
      </c>
      <c r="BP110" s="578">
        <v>0</v>
      </c>
      <c r="BQ110" s="578">
        <v>3588.08</v>
      </c>
      <c r="BR110" s="578">
        <v>0</v>
      </c>
      <c r="BS110" s="578">
        <v>0</v>
      </c>
      <c r="BT110" s="578">
        <v>0</v>
      </c>
      <c r="BU110" s="578">
        <v>441666.63</v>
      </c>
      <c r="BV110" s="578">
        <v>8966.32</v>
      </c>
      <c r="BW110" s="578">
        <v>0</v>
      </c>
      <c r="BX110" s="578">
        <v>0</v>
      </c>
      <c r="BY110" s="578">
        <v>0</v>
      </c>
      <c r="BZ110" s="578">
        <v>2074973.3</v>
      </c>
      <c r="CA110" s="578">
        <v>1963901.84</v>
      </c>
      <c r="CB110" s="578">
        <v>7701.25</v>
      </c>
      <c r="CC110" s="578">
        <v>3588.08</v>
      </c>
      <c r="CD110" s="578">
        <v>450632.95</v>
      </c>
    </row>
    <row r="111" spans="1:82" hidden="1" x14ac:dyDescent="0.3">
      <c r="A111" s="574" t="s">
        <v>1696</v>
      </c>
      <c r="B111" s="577">
        <v>3302457</v>
      </c>
      <c r="C111" s="574">
        <f>_xlfn.XLOOKUP(B111,'[1]Blade-Export_15-08-2022_sources'!B:B,'[1]Blade-Export_15-08-2022_sources'!F:F,0,FALSE)</f>
        <v>330</v>
      </c>
      <c r="D111" s="574">
        <f>_xlfn.XLOOKUP($B111,'[1]Blade-Export_15-08-2022_sources'!$B:$B,'[1]Blade-Export_15-08-2022_sources'!G:G,0,FALSE)</f>
        <v>2457</v>
      </c>
      <c r="E111" s="574" t="str">
        <f>_xlfn.XLOOKUP($B111,'[1]Blade-Export_15-08-2022_sources'!$B:$B,'[1]Blade-Export_15-08-2022_sources'!H:H,0,FALSE)</f>
        <v>NELSON MANDELA JI NC</v>
      </c>
      <c r="F111" s="578">
        <v>810280.49</v>
      </c>
      <c r="G111" s="578">
        <v>0</v>
      </c>
      <c r="H111" s="578">
        <v>0</v>
      </c>
      <c r="I111" s="578">
        <v>2236207.09</v>
      </c>
      <c r="J111" s="578">
        <v>0</v>
      </c>
      <c r="K111" s="578">
        <v>143784.4</v>
      </c>
      <c r="L111" s="578">
        <v>0</v>
      </c>
      <c r="M111" s="578">
        <v>236720</v>
      </c>
      <c r="N111" s="578">
        <v>5883.28</v>
      </c>
      <c r="O111" s="578">
        <v>0</v>
      </c>
      <c r="P111" s="578">
        <v>31986.77</v>
      </c>
      <c r="Q111" s="578">
        <v>1134.3900000000001</v>
      </c>
      <c r="R111" s="578">
        <v>0</v>
      </c>
      <c r="S111" s="578">
        <v>0</v>
      </c>
      <c r="T111" s="578">
        <v>0</v>
      </c>
      <c r="U111" s="578">
        <v>3511.5</v>
      </c>
      <c r="V111" s="578">
        <v>0</v>
      </c>
      <c r="W111" s="578"/>
      <c r="X111" s="578">
        <v>0</v>
      </c>
      <c r="Y111" s="578">
        <v>0</v>
      </c>
      <c r="Z111" s="578">
        <v>0</v>
      </c>
      <c r="AA111" s="578">
        <v>0</v>
      </c>
      <c r="AB111" s="578">
        <v>20028.78</v>
      </c>
      <c r="AC111" s="578">
        <v>14160</v>
      </c>
      <c r="AD111" s="578">
        <v>63513</v>
      </c>
      <c r="AE111" s="578">
        <v>1195186.56</v>
      </c>
      <c r="AF111" s="578">
        <v>0</v>
      </c>
      <c r="AG111" s="578">
        <v>411407.73</v>
      </c>
      <c r="AH111" s="578">
        <v>68338.47</v>
      </c>
      <c r="AI111" s="578">
        <v>163529.23000000001</v>
      </c>
      <c r="AJ111" s="578">
        <v>273.17</v>
      </c>
      <c r="AK111" s="578">
        <v>44037.11</v>
      </c>
      <c r="AL111" s="578">
        <v>4555.3500000000004</v>
      </c>
      <c r="AM111" s="578">
        <v>10430.629999999999</v>
      </c>
      <c r="AN111" s="578">
        <v>0</v>
      </c>
      <c r="AO111" s="578">
        <v>0</v>
      </c>
      <c r="AP111" s="578">
        <v>43637.35</v>
      </c>
      <c r="AQ111" s="578">
        <v>424.14</v>
      </c>
      <c r="AR111" s="578">
        <v>7475.09</v>
      </c>
      <c r="AS111" s="578">
        <v>2433.35</v>
      </c>
      <c r="AT111" s="578">
        <v>34022.99</v>
      </c>
      <c r="AU111" s="578">
        <v>42451.199999999997</v>
      </c>
      <c r="AV111" s="578">
        <v>7119.57</v>
      </c>
      <c r="AW111" s="578">
        <v>115188.8</v>
      </c>
      <c r="AX111" s="578">
        <v>54052.480000000003</v>
      </c>
      <c r="AY111" s="578">
        <v>0</v>
      </c>
      <c r="AZ111" s="578">
        <v>29263.119999999999</v>
      </c>
      <c r="BA111" s="578">
        <v>8200</v>
      </c>
      <c r="BB111" s="578">
        <v>0</v>
      </c>
      <c r="BC111" s="578">
        <v>3349.57</v>
      </c>
      <c r="BD111" s="578">
        <v>143826</v>
      </c>
      <c r="BE111" s="578">
        <v>16775.88</v>
      </c>
      <c r="BF111" s="578">
        <v>312194.27</v>
      </c>
      <c r="BG111" s="578">
        <v>0</v>
      </c>
      <c r="BH111" s="578">
        <v>0</v>
      </c>
      <c r="BI111" s="578">
        <v>36186.93</v>
      </c>
      <c r="BJ111" s="578">
        <v>0</v>
      </c>
      <c r="BK111" s="578">
        <v>0</v>
      </c>
      <c r="BL111" s="578">
        <v>9143.5</v>
      </c>
      <c r="BM111" s="578">
        <v>0</v>
      </c>
      <c r="BN111" s="578">
        <v>0</v>
      </c>
      <c r="BO111" s="578">
        <v>10000</v>
      </c>
      <c r="BP111" s="578">
        <v>0</v>
      </c>
      <c r="BQ111" s="578">
        <v>0</v>
      </c>
      <c r="BR111" s="578">
        <v>0</v>
      </c>
      <c r="BS111" s="578">
        <v>0</v>
      </c>
      <c r="BT111" s="578">
        <v>0</v>
      </c>
      <c r="BU111" s="578">
        <v>812850.72</v>
      </c>
      <c r="BV111" s="578">
        <v>9143.5</v>
      </c>
      <c r="BW111" s="578">
        <v>0</v>
      </c>
      <c r="BX111" s="578">
        <v>0</v>
      </c>
      <c r="BY111" s="578">
        <v>0</v>
      </c>
      <c r="BZ111" s="578">
        <v>2756929.21</v>
      </c>
      <c r="CA111" s="578">
        <v>2754358.99</v>
      </c>
      <c r="CB111" s="578">
        <v>9143.5</v>
      </c>
      <c r="CC111" s="578">
        <v>0</v>
      </c>
      <c r="CD111" s="578">
        <v>821994.22</v>
      </c>
    </row>
    <row r="112" spans="1:82" hidden="1" x14ac:dyDescent="0.3">
      <c r="A112" s="574" t="s">
        <v>1697</v>
      </c>
      <c r="B112" s="577">
        <v>3302142</v>
      </c>
      <c r="C112" s="574">
        <f>_xlfn.XLOOKUP(B112,'[1]Blade-Export_15-08-2022_sources'!B:B,'[1]Blade-Export_15-08-2022_sources'!F:F,0,FALSE)</f>
        <v>330</v>
      </c>
      <c r="D112" s="574">
        <f>_xlfn.XLOOKUP($B112,'[1]Blade-Export_15-08-2022_sources'!$B:$B,'[1]Blade-Export_15-08-2022_sources'!G:G,0,FALSE)</f>
        <v>2142</v>
      </c>
      <c r="E112" s="574" t="str">
        <f>_xlfn.XLOOKUP($B112,'[1]Blade-Export_15-08-2022_sources'!$B:$B,'[1]Blade-Export_15-08-2022_sources'!H:H,0,FALSE)</f>
        <v>NELSON JI NC</v>
      </c>
      <c r="F112" s="578">
        <v>887892.86</v>
      </c>
      <c r="G112" s="578">
        <v>0</v>
      </c>
      <c r="H112" s="578">
        <v>55222.720000000001</v>
      </c>
      <c r="I112" s="578">
        <v>2322567.94</v>
      </c>
      <c r="J112" s="578">
        <v>0</v>
      </c>
      <c r="K112" s="578">
        <v>44922.85</v>
      </c>
      <c r="L112" s="578">
        <v>0</v>
      </c>
      <c r="M112" s="578">
        <v>277070</v>
      </c>
      <c r="N112" s="578">
        <v>6969.38</v>
      </c>
      <c r="O112" s="578">
        <v>0</v>
      </c>
      <c r="P112" s="578">
        <v>122165.09</v>
      </c>
      <c r="Q112" s="578">
        <v>1243.05</v>
      </c>
      <c r="R112" s="578">
        <v>0</v>
      </c>
      <c r="S112" s="578">
        <v>0</v>
      </c>
      <c r="T112" s="578">
        <v>0</v>
      </c>
      <c r="U112" s="578">
        <v>9921</v>
      </c>
      <c r="V112" s="578">
        <v>0</v>
      </c>
      <c r="W112" s="578"/>
      <c r="X112" s="578">
        <v>0</v>
      </c>
      <c r="Y112" s="578">
        <v>0</v>
      </c>
      <c r="Z112" s="578">
        <v>0</v>
      </c>
      <c r="AA112" s="578">
        <v>0</v>
      </c>
      <c r="AB112" s="578">
        <v>23104.38</v>
      </c>
      <c r="AC112" s="578">
        <v>13560</v>
      </c>
      <c r="AD112" s="578">
        <v>60115</v>
      </c>
      <c r="AE112" s="578">
        <v>1237310.3799999999</v>
      </c>
      <c r="AF112" s="578">
        <v>6578.24</v>
      </c>
      <c r="AG112" s="578">
        <v>212677.38</v>
      </c>
      <c r="AH112" s="578">
        <v>51599.37</v>
      </c>
      <c r="AI112" s="578">
        <v>185815.09</v>
      </c>
      <c r="AJ112" s="578">
        <v>0</v>
      </c>
      <c r="AK112" s="578">
        <v>100722.07</v>
      </c>
      <c r="AL112" s="578">
        <v>1915.57</v>
      </c>
      <c r="AM112" s="578">
        <v>16361.35</v>
      </c>
      <c r="AN112" s="578">
        <v>0</v>
      </c>
      <c r="AO112" s="578">
        <v>0</v>
      </c>
      <c r="AP112" s="578">
        <v>53671.78</v>
      </c>
      <c r="AQ112" s="578">
        <v>6175</v>
      </c>
      <c r="AR112" s="578">
        <v>38778.730000000003</v>
      </c>
      <c r="AS112" s="578">
        <v>1304.82</v>
      </c>
      <c r="AT112" s="578">
        <v>33251.96</v>
      </c>
      <c r="AU112" s="578">
        <v>22441.9</v>
      </c>
      <c r="AV112" s="578">
        <v>5592</v>
      </c>
      <c r="AW112" s="578">
        <v>81596.479999999996</v>
      </c>
      <c r="AX112" s="578">
        <v>27389.16</v>
      </c>
      <c r="AY112" s="578">
        <v>0</v>
      </c>
      <c r="AZ112" s="578">
        <v>49606.3</v>
      </c>
      <c r="BA112" s="578">
        <v>8200</v>
      </c>
      <c r="BB112" s="578">
        <v>0</v>
      </c>
      <c r="BC112" s="578">
        <v>5697.78</v>
      </c>
      <c r="BD112" s="578">
        <v>107068.69</v>
      </c>
      <c r="BE112" s="578">
        <v>1874.38</v>
      </c>
      <c r="BF112" s="578">
        <v>313390.52</v>
      </c>
      <c r="BG112" s="578">
        <v>0</v>
      </c>
      <c r="BH112" s="578">
        <v>0</v>
      </c>
      <c r="BI112" s="578">
        <v>5519</v>
      </c>
      <c r="BJ112" s="578">
        <v>0</v>
      </c>
      <c r="BK112" s="578">
        <v>0</v>
      </c>
      <c r="BL112" s="578">
        <v>8653</v>
      </c>
      <c r="BM112" s="578">
        <v>0</v>
      </c>
      <c r="BN112" s="578">
        <v>0</v>
      </c>
      <c r="BO112" s="578">
        <v>10000</v>
      </c>
      <c r="BP112" s="578">
        <v>0</v>
      </c>
      <c r="BQ112" s="578">
        <v>0</v>
      </c>
      <c r="BR112" s="578">
        <v>0</v>
      </c>
      <c r="BS112" s="578">
        <v>0</v>
      </c>
      <c r="BT112" s="578">
        <v>0</v>
      </c>
      <c r="BU112" s="578">
        <v>1194993.5900000001</v>
      </c>
      <c r="BV112" s="578">
        <v>63875.72</v>
      </c>
      <c r="BW112" s="578">
        <v>0</v>
      </c>
      <c r="BX112" s="578">
        <v>0</v>
      </c>
      <c r="BY112" s="578">
        <v>0</v>
      </c>
      <c r="BZ112" s="578">
        <v>2881638.69</v>
      </c>
      <c r="CA112" s="578">
        <v>2574537.9500000002</v>
      </c>
      <c r="CB112" s="578">
        <v>8653</v>
      </c>
      <c r="CC112" s="578">
        <v>0</v>
      </c>
      <c r="CD112" s="578">
        <v>1258869.31</v>
      </c>
    </row>
    <row r="113" spans="1:82" hidden="1" x14ac:dyDescent="0.3">
      <c r="A113" s="574" t="s">
        <v>1698</v>
      </c>
      <c r="B113" s="577">
        <v>3304245</v>
      </c>
      <c r="C113" s="574">
        <f>_xlfn.XLOOKUP(B113,'[1]Blade-Export_15-08-2022_sources'!B:B,'[1]Blade-Export_15-08-2022_sources'!F:F,0,FALSE)</f>
        <v>330</v>
      </c>
      <c r="D113" s="574">
        <f>_xlfn.XLOOKUP($B113,'[1]Blade-Export_15-08-2022_sources'!$B:$B,'[1]Blade-Export_15-08-2022_sources'!G:G,0,FALSE)</f>
        <v>4245</v>
      </c>
      <c r="E113" s="574" t="str">
        <f>_xlfn.XLOOKUP($B113,'[1]Blade-Export_15-08-2022_sources'!$B:$B,'[1]Blade-Export_15-08-2022_sources'!H:H,0,FALSE)</f>
        <v xml:space="preserve">MOSELEY Sec (16+) </v>
      </c>
      <c r="F113" s="578">
        <v>2839644.4</v>
      </c>
      <c r="G113" s="578">
        <v>0</v>
      </c>
      <c r="H113" s="578">
        <v>0</v>
      </c>
      <c r="I113" s="578">
        <v>8306691.5800000001</v>
      </c>
      <c r="J113" s="578">
        <v>1216180.5900000001</v>
      </c>
      <c r="K113" s="578">
        <v>14506.98</v>
      </c>
      <c r="L113" s="578">
        <v>0</v>
      </c>
      <c r="M113" s="578">
        <v>647322.77</v>
      </c>
      <c r="N113" s="578">
        <v>23565.94</v>
      </c>
      <c r="O113" s="578">
        <v>0</v>
      </c>
      <c r="P113" s="578">
        <v>393745.1</v>
      </c>
      <c r="Q113" s="578">
        <v>0</v>
      </c>
      <c r="R113" s="578">
        <v>3504.63</v>
      </c>
      <c r="S113" s="578">
        <v>0</v>
      </c>
      <c r="T113" s="578">
        <v>0</v>
      </c>
      <c r="U113" s="578">
        <v>0</v>
      </c>
      <c r="V113" s="578">
        <v>0</v>
      </c>
      <c r="W113" s="578"/>
      <c r="X113" s="578">
        <v>0</v>
      </c>
      <c r="Y113" s="578">
        <v>0</v>
      </c>
      <c r="Z113" s="578">
        <v>0</v>
      </c>
      <c r="AA113" s="578">
        <v>0</v>
      </c>
      <c r="AB113" s="578">
        <v>102508.44</v>
      </c>
      <c r="AC113" s="578">
        <v>41600</v>
      </c>
      <c r="AD113" s="578">
        <v>0</v>
      </c>
      <c r="AE113" s="578">
        <v>5021549.0599999996</v>
      </c>
      <c r="AF113" s="578">
        <v>37428.76</v>
      </c>
      <c r="AG113" s="578">
        <v>1378700.76</v>
      </c>
      <c r="AH113" s="578">
        <v>372295.04</v>
      </c>
      <c r="AI113" s="578">
        <v>732063.95</v>
      </c>
      <c r="AJ113" s="578">
        <v>0</v>
      </c>
      <c r="AK113" s="578">
        <v>0</v>
      </c>
      <c r="AL113" s="578">
        <v>62422.28</v>
      </c>
      <c r="AM113" s="578">
        <v>19484.990000000002</v>
      </c>
      <c r="AN113" s="578">
        <v>0</v>
      </c>
      <c r="AO113" s="578">
        <v>0</v>
      </c>
      <c r="AP113" s="578">
        <v>0</v>
      </c>
      <c r="AQ113" s="578">
        <v>36044.879999999997</v>
      </c>
      <c r="AR113" s="578">
        <v>25616.39</v>
      </c>
      <c r="AS113" s="578">
        <v>16151.36</v>
      </c>
      <c r="AT113" s="578">
        <v>211202.51</v>
      </c>
      <c r="AU113" s="578">
        <v>195018.23999999999</v>
      </c>
      <c r="AV113" s="578">
        <v>19924.93</v>
      </c>
      <c r="AW113" s="578">
        <v>130863.2</v>
      </c>
      <c r="AX113" s="578">
        <v>152270.14000000001</v>
      </c>
      <c r="AY113" s="578">
        <v>117675.62</v>
      </c>
      <c r="AZ113" s="578">
        <v>127284.68</v>
      </c>
      <c r="BA113" s="578">
        <v>33061.089999999997</v>
      </c>
      <c r="BB113" s="578">
        <v>0</v>
      </c>
      <c r="BC113" s="578">
        <v>198005.02</v>
      </c>
      <c r="BD113" s="578">
        <v>0</v>
      </c>
      <c r="BE113" s="578">
        <v>102186.9</v>
      </c>
      <c r="BF113" s="578">
        <v>811536.64</v>
      </c>
      <c r="BG113" s="578">
        <v>0</v>
      </c>
      <c r="BH113" s="578">
        <v>1181.18</v>
      </c>
      <c r="BI113" s="578">
        <v>304301.99</v>
      </c>
      <c r="BJ113" s="578">
        <v>0</v>
      </c>
      <c r="BK113" s="578">
        <v>0</v>
      </c>
      <c r="BL113" s="578">
        <v>0</v>
      </c>
      <c r="BM113" s="578">
        <v>0</v>
      </c>
      <c r="BN113" s="578">
        <v>0</v>
      </c>
      <c r="BO113" s="578">
        <v>10000</v>
      </c>
      <c r="BP113" s="578">
        <v>0</v>
      </c>
      <c r="BQ113" s="578">
        <v>0</v>
      </c>
      <c r="BR113" s="578">
        <v>0</v>
      </c>
      <c r="BS113" s="578">
        <v>0</v>
      </c>
      <c r="BT113" s="578">
        <v>0</v>
      </c>
      <c r="BU113" s="578">
        <v>3483000.82</v>
      </c>
      <c r="BV113" s="578">
        <v>0</v>
      </c>
      <c r="BW113" s="578">
        <v>0</v>
      </c>
      <c r="BX113" s="578">
        <v>0</v>
      </c>
      <c r="BY113" s="578">
        <v>0</v>
      </c>
      <c r="BZ113" s="578">
        <v>10749626.029999999</v>
      </c>
      <c r="CA113" s="578">
        <v>10106269.609999999</v>
      </c>
      <c r="CB113" s="578">
        <v>0</v>
      </c>
      <c r="CC113" s="578">
        <v>0</v>
      </c>
      <c r="CD113" s="578">
        <v>3483000.82</v>
      </c>
    </row>
    <row r="114" spans="1:82" hidden="1" x14ac:dyDescent="0.3">
      <c r="A114" s="574" t="s">
        <v>1699</v>
      </c>
      <c r="B114" s="577">
        <v>3303003</v>
      </c>
      <c r="C114" s="574">
        <f>_xlfn.XLOOKUP(B114,'[1]Blade-Export_15-08-2022_sources'!B:B,'[1]Blade-Export_15-08-2022_sources'!F:F,0,FALSE)</f>
        <v>330</v>
      </c>
      <c r="D114" s="574">
        <f>_xlfn.XLOOKUP($B114,'[1]Blade-Export_15-08-2022_sources'!$B:$B,'[1]Blade-Export_15-08-2022_sources'!G:G,0,FALSE)</f>
        <v>3003</v>
      </c>
      <c r="E114" s="574" t="str">
        <f>_xlfn.XLOOKUP($B114,'[1]Blade-Export_15-08-2022_sources'!$B:$B,'[1]Blade-Export_15-08-2022_sources'!H:H,0,FALSE)</f>
        <v xml:space="preserve">MOSELEY CE JI </v>
      </c>
      <c r="F114" s="578">
        <v>144542.25</v>
      </c>
      <c r="G114" s="578">
        <v>0</v>
      </c>
      <c r="H114" s="578">
        <v>0</v>
      </c>
      <c r="I114" s="578">
        <v>927973.07</v>
      </c>
      <c r="J114" s="578">
        <v>0</v>
      </c>
      <c r="K114" s="578">
        <v>7407.22</v>
      </c>
      <c r="L114" s="578">
        <v>0</v>
      </c>
      <c r="M114" s="578">
        <v>34140</v>
      </c>
      <c r="N114" s="578">
        <v>472.5</v>
      </c>
      <c r="O114" s="578">
        <v>1000</v>
      </c>
      <c r="P114" s="578">
        <v>15616.13</v>
      </c>
      <c r="Q114" s="578">
        <v>144.06</v>
      </c>
      <c r="R114" s="578">
        <v>144.91999999999999</v>
      </c>
      <c r="S114" s="578">
        <v>0</v>
      </c>
      <c r="T114" s="578">
        <v>0</v>
      </c>
      <c r="U114" s="578">
        <v>138193.35999999999</v>
      </c>
      <c r="V114" s="578">
        <v>0</v>
      </c>
      <c r="W114" s="578"/>
      <c r="X114" s="578">
        <v>0</v>
      </c>
      <c r="Y114" s="578">
        <v>0</v>
      </c>
      <c r="Z114" s="578">
        <v>0</v>
      </c>
      <c r="AA114" s="578">
        <v>0</v>
      </c>
      <c r="AB114" s="578">
        <v>3122.5</v>
      </c>
      <c r="AC114" s="578">
        <v>7130</v>
      </c>
      <c r="AD114" s="578">
        <v>52164</v>
      </c>
      <c r="AE114" s="578">
        <v>568358.57999999996</v>
      </c>
      <c r="AF114" s="578">
        <v>0</v>
      </c>
      <c r="AG114" s="578">
        <v>78447.649999999994</v>
      </c>
      <c r="AH114" s="578">
        <v>12353.97</v>
      </c>
      <c r="AI114" s="578">
        <v>114132.08</v>
      </c>
      <c r="AJ114" s="578">
        <v>0</v>
      </c>
      <c r="AK114" s="578">
        <v>46645.57</v>
      </c>
      <c r="AL114" s="578">
        <v>4581.1000000000004</v>
      </c>
      <c r="AM114" s="578">
        <v>2795</v>
      </c>
      <c r="AN114" s="578">
        <v>0</v>
      </c>
      <c r="AO114" s="578">
        <v>0</v>
      </c>
      <c r="AP114" s="578">
        <v>3882.99</v>
      </c>
      <c r="AQ114" s="578">
        <v>3295.72</v>
      </c>
      <c r="AR114" s="578">
        <v>3643.46</v>
      </c>
      <c r="AS114" s="578">
        <v>5808.23</v>
      </c>
      <c r="AT114" s="578">
        <v>11794.01</v>
      </c>
      <c r="AU114" s="578">
        <v>19538.150000000001</v>
      </c>
      <c r="AV114" s="578">
        <v>3797.72</v>
      </c>
      <c r="AW114" s="578">
        <v>46987.6</v>
      </c>
      <c r="AX114" s="578">
        <v>12321.45</v>
      </c>
      <c r="AY114" s="578">
        <v>0</v>
      </c>
      <c r="AZ114" s="578">
        <v>14987.12</v>
      </c>
      <c r="BA114" s="578">
        <v>4450</v>
      </c>
      <c r="BB114" s="578">
        <v>0</v>
      </c>
      <c r="BC114" s="578">
        <v>13380.36</v>
      </c>
      <c r="BD114" s="578">
        <v>66426.59</v>
      </c>
      <c r="BE114" s="578">
        <v>0</v>
      </c>
      <c r="BF114" s="578">
        <v>191375.58</v>
      </c>
      <c r="BG114" s="578">
        <v>0</v>
      </c>
      <c r="BH114" s="578">
        <v>0</v>
      </c>
      <c r="BI114" s="578">
        <v>0</v>
      </c>
      <c r="BJ114" s="578">
        <v>0</v>
      </c>
      <c r="BK114" s="578">
        <v>0</v>
      </c>
      <c r="BL114" s="578">
        <v>28412.5</v>
      </c>
      <c r="BM114" s="578">
        <v>0</v>
      </c>
      <c r="BN114" s="578">
        <v>0</v>
      </c>
      <c r="BO114" s="578">
        <v>10000</v>
      </c>
      <c r="BP114" s="578">
        <v>0</v>
      </c>
      <c r="BQ114" s="578">
        <v>0</v>
      </c>
      <c r="BR114" s="578">
        <v>0</v>
      </c>
      <c r="BS114" s="578">
        <v>0</v>
      </c>
      <c r="BT114" s="578">
        <v>0</v>
      </c>
      <c r="BU114" s="578">
        <v>103047.08</v>
      </c>
      <c r="BV114" s="578">
        <v>28412.5</v>
      </c>
      <c r="BW114" s="578">
        <v>0</v>
      </c>
      <c r="BX114" s="578">
        <v>0</v>
      </c>
      <c r="BY114" s="578">
        <v>0</v>
      </c>
      <c r="BZ114" s="578">
        <v>1187507.76</v>
      </c>
      <c r="CA114" s="578">
        <v>1229002.93</v>
      </c>
      <c r="CB114" s="578">
        <v>28412.5</v>
      </c>
      <c r="CC114" s="578">
        <v>0</v>
      </c>
      <c r="CD114" s="578">
        <v>131459.57999999999</v>
      </c>
    </row>
    <row r="115" spans="1:82" hidden="1" x14ac:dyDescent="0.3">
      <c r="A115" s="574" t="s">
        <v>1700</v>
      </c>
      <c r="B115" s="577">
        <v>3302416</v>
      </c>
      <c r="C115" s="574">
        <f>_xlfn.XLOOKUP(B115,'[1]Blade-Export_15-08-2022_sources'!B:B,'[1]Blade-Export_15-08-2022_sources'!F:F,0,FALSE)</f>
        <v>330</v>
      </c>
      <c r="D115" s="574">
        <f>_xlfn.XLOOKUP($B115,'[1]Blade-Export_15-08-2022_sources'!$B:$B,'[1]Blade-Export_15-08-2022_sources'!G:G,0,FALSE)</f>
        <v>2416</v>
      </c>
      <c r="E115" s="574" t="str">
        <f>_xlfn.XLOOKUP($B115,'[1]Blade-Export_15-08-2022_sources'!$B:$B,'[1]Blade-Export_15-08-2022_sources'!H:H,0,FALSE)</f>
        <v xml:space="preserve">MOOR HALL JI </v>
      </c>
      <c r="F115" s="578">
        <v>48088.39</v>
      </c>
      <c r="G115" s="578">
        <v>0</v>
      </c>
      <c r="H115" s="578">
        <v>20406</v>
      </c>
      <c r="I115" s="578">
        <v>1368059.86</v>
      </c>
      <c r="J115" s="578">
        <v>0</v>
      </c>
      <c r="K115" s="578">
        <v>38133.89</v>
      </c>
      <c r="L115" s="578">
        <v>0</v>
      </c>
      <c r="M115" s="578">
        <v>28210</v>
      </c>
      <c r="N115" s="578">
        <v>649.69000000000005</v>
      </c>
      <c r="O115" s="578">
        <v>9176.7999999999993</v>
      </c>
      <c r="P115" s="578">
        <v>205134.29</v>
      </c>
      <c r="Q115" s="578">
        <v>39.159999999999997</v>
      </c>
      <c r="R115" s="578">
        <v>333.99</v>
      </c>
      <c r="S115" s="578">
        <v>0</v>
      </c>
      <c r="T115" s="578">
        <v>0</v>
      </c>
      <c r="U115" s="578">
        <v>13271.99</v>
      </c>
      <c r="V115" s="578">
        <v>0</v>
      </c>
      <c r="W115" s="578"/>
      <c r="X115" s="578">
        <v>0</v>
      </c>
      <c r="Y115" s="578">
        <v>0</v>
      </c>
      <c r="Z115" s="578">
        <v>0</v>
      </c>
      <c r="AA115" s="578">
        <v>0</v>
      </c>
      <c r="AB115" s="578">
        <v>2099.69</v>
      </c>
      <c r="AC115" s="578">
        <v>10130</v>
      </c>
      <c r="AD115" s="578">
        <v>97262</v>
      </c>
      <c r="AE115" s="578">
        <v>806139.06</v>
      </c>
      <c r="AF115" s="578">
        <v>16311.23</v>
      </c>
      <c r="AG115" s="578">
        <v>182453.36</v>
      </c>
      <c r="AH115" s="578">
        <v>41993.96</v>
      </c>
      <c r="AI115" s="578">
        <v>201742.11</v>
      </c>
      <c r="AJ115" s="578">
        <v>0</v>
      </c>
      <c r="AK115" s="578">
        <v>48663.55</v>
      </c>
      <c r="AL115" s="578">
        <v>3257.4</v>
      </c>
      <c r="AM115" s="578">
        <v>472.5</v>
      </c>
      <c r="AN115" s="578">
        <v>0</v>
      </c>
      <c r="AO115" s="578">
        <v>0</v>
      </c>
      <c r="AP115" s="578">
        <v>30900.66</v>
      </c>
      <c r="AQ115" s="578">
        <v>2808.92</v>
      </c>
      <c r="AR115" s="578">
        <v>20567.86</v>
      </c>
      <c r="AS115" s="578">
        <v>1928.86</v>
      </c>
      <c r="AT115" s="578">
        <v>21947.68</v>
      </c>
      <c r="AU115" s="578">
        <v>31645.439999999999</v>
      </c>
      <c r="AV115" s="578">
        <v>3585.7</v>
      </c>
      <c r="AW115" s="578">
        <v>45048.43</v>
      </c>
      <c r="AX115" s="578">
        <v>5179.26</v>
      </c>
      <c r="AY115" s="578">
        <v>0</v>
      </c>
      <c r="AZ115" s="578">
        <v>55022.12</v>
      </c>
      <c r="BA115" s="578">
        <v>8200</v>
      </c>
      <c r="BB115" s="578">
        <v>0</v>
      </c>
      <c r="BC115" s="578">
        <v>8704.7900000000009</v>
      </c>
      <c r="BD115" s="578">
        <v>6274.1</v>
      </c>
      <c r="BE115" s="578">
        <v>0</v>
      </c>
      <c r="BF115" s="578">
        <v>244742.19</v>
      </c>
      <c r="BG115" s="578">
        <v>0</v>
      </c>
      <c r="BH115" s="578">
        <v>0</v>
      </c>
      <c r="BI115" s="578">
        <v>4987.82</v>
      </c>
      <c r="BJ115" s="578">
        <v>0</v>
      </c>
      <c r="BK115" s="578">
        <v>0</v>
      </c>
      <c r="BL115" s="578">
        <v>7408.75</v>
      </c>
      <c r="BM115" s="578">
        <v>0</v>
      </c>
      <c r="BN115" s="578">
        <v>0</v>
      </c>
      <c r="BO115" s="578">
        <v>10000</v>
      </c>
      <c r="BP115" s="578">
        <v>0</v>
      </c>
      <c r="BQ115" s="578">
        <v>19276.23</v>
      </c>
      <c r="BR115" s="578">
        <v>0</v>
      </c>
      <c r="BS115" s="578">
        <v>0</v>
      </c>
      <c r="BT115" s="578">
        <v>0</v>
      </c>
      <c r="BU115" s="578">
        <v>28012.74</v>
      </c>
      <c r="BV115" s="578">
        <v>8538.52</v>
      </c>
      <c r="BW115" s="578">
        <v>0</v>
      </c>
      <c r="BX115" s="578">
        <v>0</v>
      </c>
      <c r="BY115" s="578">
        <v>0</v>
      </c>
      <c r="BZ115" s="578">
        <v>1772501.36</v>
      </c>
      <c r="CA115" s="578">
        <v>1792577</v>
      </c>
      <c r="CB115" s="578">
        <v>7408.75</v>
      </c>
      <c r="CC115" s="578">
        <v>19276.23</v>
      </c>
      <c r="CD115" s="578">
        <v>36551.26</v>
      </c>
    </row>
    <row r="116" spans="1:82" hidden="1" x14ac:dyDescent="0.3">
      <c r="A116" s="574" t="s">
        <v>1701</v>
      </c>
      <c r="B116" s="577">
        <v>3302406</v>
      </c>
      <c r="C116" s="574">
        <f>_xlfn.XLOOKUP(B116,'[1]Blade-Export_15-08-2022_sources'!B:B,'[1]Blade-Export_15-08-2022_sources'!F:F,0,FALSE)</f>
        <v>330</v>
      </c>
      <c r="D116" s="574">
        <f>_xlfn.XLOOKUP($B116,'[1]Blade-Export_15-08-2022_sources'!$B:$B,'[1]Blade-Export_15-08-2022_sources'!G:G,0,FALSE)</f>
        <v>2406</v>
      </c>
      <c r="E116" s="574" t="str">
        <f>_xlfn.XLOOKUP($B116,'[1]Blade-Export_15-08-2022_sources'!$B:$B,'[1]Blade-Export_15-08-2022_sources'!H:H,0,FALSE)</f>
        <v xml:space="preserve">MINWORTH JI </v>
      </c>
      <c r="F116" s="578">
        <v>141308.53</v>
      </c>
      <c r="G116" s="578">
        <v>0</v>
      </c>
      <c r="H116" s="578">
        <v>41042.85</v>
      </c>
      <c r="I116" s="578">
        <v>1095157.94</v>
      </c>
      <c r="J116" s="578">
        <v>0</v>
      </c>
      <c r="K116" s="578">
        <v>31369</v>
      </c>
      <c r="L116" s="578">
        <v>0</v>
      </c>
      <c r="M116" s="578">
        <v>146225</v>
      </c>
      <c r="N116" s="578">
        <v>3189.38</v>
      </c>
      <c r="O116" s="578">
        <v>0</v>
      </c>
      <c r="P116" s="578">
        <v>52278.63</v>
      </c>
      <c r="Q116" s="578">
        <v>197.83</v>
      </c>
      <c r="R116" s="578">
        <v>0</v>
      </c>
      <c r="S116" s="578">
        <v>0</v>
      </c>
      <c r="T116" s="578">
        <v>0</v>
      </c>
      <c r="U116" s="578">
        <v>34940.589999999997</v>
      </c>
      <c r="V116" s="578">
        <v>0</v>
      </c>
      <c r="W116" s="578"/>
      <c r="X116" s="578">
        <v>0</v>
      </c>
      <c r="Y116" s="578">
        <v>0</v>
      </c>
      <c r="Z116" s="578">
        <v>0</v>
      </c>
      <c r="AA116" s="578">
        <v>0</v>
      </c>
      <c r="AB116" s="578">
        <v>12001.88</v>
      </c>
      <c r="AC116" s="578">
        <v>6860</v>
      </c>
      <c r="AD116" s="578">
        <v>40958</v>
      </c>
      <c r="AE116" s="578">
        <v>584640</v>
      </c>
      <c r="AF116" s="578">
        <v>52200</v>
      </c>
      <c r="AG116" s="578">
        <v>354960</v>
      </c>
      <c r="AH116" s="578">
        <v>52200</v>
      </c>
      <c r="AI116" s="578">
        <v>23278.37</v>
      </c>
      <c r="AJ116" s="578">
        <v>0</v>
      </c>
      <c r="AK116" s="578">
        <v>0</v>
      </c>
      <c r="AL116" s="578">
        <v>1937.8</v>
      </c>
      <c r="AM116" s="578">
        <v>461</v>
      </c>
      <c r="AN116" s="578">
        <v>0</v>
      </c>
      <c r="AO116" s="578">
        <v>0</v>
      </c>
      <c r="AP116" s="578">
        <v>7118.43</v>
      </c>
      <c r="AQ116" s="578">
        <v>1316.33</v>
      </c>
      <c r="AR116" s="578">
        <v>1347.41</v>
      </c>
      <c r="AS116" s="578">
        <v>2811.87</v>
      </c>
      <c r="AT116" s="578">
        <v>4140.8</v>
      </c>
      <c r="AU116" s="578">
        <v>11999.47</v>
      </c>
      <c r="AV116" s="578">
        <v>5148.7</v>
      </c>
      <c r="AW116" s="578">
        <v>27220.86</v>
      </c>
      <c r="AX116" s="578">
        <v>26.4</v>
      </c>
      <c r="AY116" s="578">
        <v>0</v>
      </c>
      <c r="AZ116" s="578">
        <v>38868.449999999997</v>
      </c>
      <c r="BA116" s="578">
        <v>4450</v>
      </c>
      <c r="BB116" s="578">
        <v>0</v>
      </c>
      <c r="BC116" s="578">
        <v>44539.12</v>
      </c>
      <c r="BD116" s="578">
        <v>8898</v>
      </c>
      <c r="BE116" s="578">
        <v>1018.5</v>
      </c>
      <c r="BF116" s="578">
        <v>124989.64</v>
      </c>
      <c r="BG116" s="578">
        <v>0</v>
      </c>
      <c r="BH116" s="578">
        <v>0</v>
      </c>
      <c r="BI116" s="578">
        <v>0</v>
      </c>
      <c r="BJ116" s="578">
        <v>0</v>
      </c>
      <c r="BK116" s="578">
        <v>0</v>
      </c>
      <c r="BL116" s="578">
        <v>6227.5</v>
      </c>
      <c r="BM116" s="578">
        <v>0</v>
      </c>
      <c r="BN116" s="578">
        <v>0</v>
      </c>
      <c r="BO116" s="578">
        <v>10000</v>
      </c>
      <c r="BP116" s="578">
        <v>0</v>
      </c>
      <c r="BQ116" s="578">
        <v>0</v>
      </c>
      <c r="BR116" s="578">
        <v>0</v>
      </c>
      <c r="BS116" s="578">
        <v>0</v>
      </c>
      <c r="BT116" s="578">
        <v>0</v>
      </c>
      <c r="BU116" s="578">
        <v>210915.62</v>
      </c>
      <c r="BV116" s="578">
        <v>47270.35</v>
      </c>
      <c r="BW116" s="578">
        <v>0</v>
      </c>
      <c r="BX116" s="578">
        <v>0</v>
      </c>
      <c r="BY116" s="578">
        <v>0</v>
      </c>
      <c r="BZ116" s="578">
        <v>1423178.25</v>
      </c>
      <c r="CA116" s="578">
        <v>1353571.15</v>
      </c>
      <c r="CB116" s="578">
        <v>6227.5</v>
      </c>
      <c r="CC116" s="578">
        <v>0</v>
      </c>
      <c r="CD116" s="578">
        <v>258185.97</v>
      </c>
    </row>
    <row r="117" spans="1:82" hidden="1" x14ac:dyDescent="0.3">
      <c r="A117" s="574" t="s">
        <v>1702</v>
      </c>
      <c r="B117" s="577">
        <v>3307040</v>
      </c>
      <c r="C117" s="574">
        <f>_xlfn.XLOOKUP(B117,'[1]Blade-Export_15-08-2022_sources'!B:B,'[1]Blade-Export_15-08-2022_sources'!F:F,0,FALSE)</f>
        <v>330</v>
      </c>
      <c r="D117" s="574">
        <f>_xlfn.XLOOKUP($B117,'[1]Blade-Export_15-08-2022_sources'!$B:$B,'[1]Blade-Export_15-08-2022_sources'!G:G,0,FALSE)</f>
        <v>7040</v>
      </c>
      <c r="E117" s="574" t="str">
        <f>_xlfn.XLOOKUP($B117,'[1]Blade-Export_15-08-2022_sources'!$B:$B,'[1]Blade-Export_15-08-2022_sources'!H:H,0,FALSE)</f>
        <v>MAYFIELD Spec</v>
      </c>
      <c r="F117" s="578">
        <v>-1143243.6399999999</v>
      </c>
      <c r="G117" s="578">
        <v>0</v>
      </c>
      <c r="H117" s="578">
        <v>0</v>
      </c>
      <c r="I117" s="578">
        <v>2854659.78</v>
      </c>
      <c r="J117" s="578">
        <v>0</v>
      </c>
      <c r="K117" s="578">
        <v>0</v>
      </c>
      <c r="L117" s="578">
        <v>0</v>
      </c>
      <c r="M117" s="578">
        <v>41218.75</v>
      </c>
      <c r="N117" s="578">
        <v>0</v>
      </c>
      <c r="O117" s="578">
        <v>0</v>
      </c>
      <c r="P117" s="578">
        <v>106763.72</v>
      </c>
      <c r="Q117" s="578">
        <v>0</v>
      </c>
      <c r="R117" s="578">
        <v>8493.7999999999993</v>
      </c>
      <c r="S117" s="578">
        <v>0</v>
      </c>
      <c r="T117" s="578">
        <v>0</v>
      </c>
      <c r="U117" s="578">
        <v>0</v>
      </c>
      <c r="V117" s="578">
        <v>0</v>
      </c>
      <c r="W117" s="578"/>
      <c r="X117" s="578">
        <v>0</v>
      </c>
      <c r="Y117" s="578">
        <v>0</v>
      </c>
      <c r="Z117" s="578">
        <v>0</v>
      </c>
      <c r="AA117" s="578">
        <v>0</v>
      </c>
      <c r="AB117" s="578">
        <v>0</v>
      </c>
      <c r="AC117" s="578">
        <v>29900</v>
      </c>
      <c r="AD117" s="578">
        <v>10335</v>
      </c>
      <c r="AE117" s="578">
        <v>503959.58</v>
      </c>
      <c r="AF117" s="578">
        <v>0</v>
      </c>
      <c r="AG117" s="578">
        <v>370356.76</v>
      </c>
      <c r="AH117" s="578">
        <v>12892.62</v>
      </c>
      <c r="AI117" s="578">
        <v>127118.55</v>
      </c>
      <c r="AJ117" s="578">
        <v>72.06</v>
      </c>
      <c r="AK117" s="578">
        <v>54907.7</v>
      </c>
      <c r="AL117" s="578">
        <v>246831.57</v>
      </c>
      <c r="AM117" s="578">
        <v>2200.2399999999998</v>
      </c>
      <c r="AN117" s="578">
        <v>0</v>
      </c>
      <c r="AO117" s="578">
        <v>0</v>
      </c>
      <c r="AP117" s="578">
        <v>4239.29</v>
      </c>
      <c r="AQ117" s="578">
        <v>0</v>
      </c>
      <c r="AR117" s="578">
        <v>1050.5</v>
      </c>
      <c r="AS117" s="578">
        <v>14289.26</v>
      </c>
      <c r="AT117" s="578">
        <v>32032.36</v>
      </c>
      <c r="AU117" s="578">
        <v>0</v>
      </c>
      <c r="AV117" s="578">
        <v>27573</v>
      </c>
      <c r="AW117" s="578">
        <v>66183.14</v>
      </c>
      <c r="AX117" s="578">
        <v>9481.61</v>
      </c>
      <c r="AY117" s="578">
        <v>0</v>
      </c>
      <c r="AZ117" s="578">
        <v>92253.32</v>
      </c>
      <c r="BA117" s="578">
        <v>741</v>
      </c>
      <c r="BB117" s="578">
        <v>0</v>
      </c>
      <c r="BC117" s="578">
        <v>2233.4499999999998</v>
      </c>
      <c r="BD117" s="578">
        <v>274898.34999999998</v>
      </c>
      <c r="BE117" s="578">
        <v>130.87</v>
      </c>
      <c r="BF117" s="578">
        <v>64682.18</v>
      </c>
      <c r="BG117" s="578">
        <v>0</v>
      </c>
      <c r="BH117" s="578">
        <v>0</v>
      </c>
      <c r="BI117" s="578">
        <v>0</v>
      </c>
      <c r="BJ117" s="578">
        <v>0</v>
      </c>
      <c r="BK117" s="578">
        <v>0</v>
      </c>
      <c r="BL117" s="578">
        <v>0</v>
      </c>
      <c r="BM117" s="578">
        <v>0</v>
      </c>
      <c r="BN117" s="578">
        <v>0</v>
      </c>
      <c r="BO117" s="578">
        <v>10000</v>
      </c>
      <c r="BP117" s="578">
        <v>0</v>
      </c>
      <c r="BQ117" s="578">
        <v>0</v>
      </c>
      <c r="BR117" s="578">
        <v>0</v>
      </c>
      <c r="BS117" s="578">
        <v>0</v>
      </c>
      <c r="BT117" s="578">
        <v>0</v>
      </c>
      <c r="BU117" s="578">
        <v>0</v>
      </c>
      <c r="BV117" s="578">
        <v>0</v>
      </c>
      <c r="BW117" s="578">
        <v>0</v>
      </c>
      <c r="BX117" s="578">
        <v>0</v>
      </c>
      <c r="BY117" s="578">
        <v>0</v>
      </c>
      <c r="BZ117" s="578">
        <v>3051371.05</v>
      </c>
      <c r="CA117" s="578">
        <v>1908127.41</v>
      </c>
      <c r="CB117" s="578">
        <v>0</v>
      </c>
      <c r="CC117" s="578">
        <v>0</v>
      </c>
      <c r="CD117" s="578">
        <v>0</v>
      </c>
    </row>
    <row r="118" spans="1:82" hidden="1" x14ac:dyDescent="0.3">
      <c r="A118" s="574" t="s">
        <v>1703</v>
      </c>
      <c r="B118" s="577">
        <v>3303322</v>
      </c>
      <c r="C118" s="574">
        <f>_xlfn.XLOOKUP(B118,'[1]Blade-Export_15-08-2022_sources'!B:B,'[1]Blade-Export_15-08-2022_sources'!F:F,0,FALSE)</f>
        <v>330</v>
      </c>
      <c r="D118" s="574">
        <f>_xlfn.XLOOKUP($B118,'[1]Blade-Export_15-08-2022_sources'!$B:$B,'[1]Blade-Export_15-08-2022_sources'!G:G,0,FALSE)</f>
        <v>3322</v>
      </c>
      <c r="E118" s="574" t="str">
        <f>_xlfn.XLOOKUP($B118,'[1]Blade-Export_15-08-2022_sources'!$B:$B,'[1]Blade-Export_15-08-2022_sources'!H:H,0,FALSE)</f>
        <v>MARYVALE RC JI NC</v>
      </c>
      <c r="F118" s="578">
        <v>179498.33</v>
      </c>
      <c r="G118" s="578">
        <v>0</v>
      </c>
      <c r="H118" s="578">
        <v>0</v>
      </c>
      <c r="I118" s="578">
        <v>1034887.58</v>
      </c>
      <c r="J118" s="578">
        <v>0</v>
      </c>
      <c r="K118" s="578">
        <v>15461</v>
      </c>
      <c r="L118" s="578">
        <v>0</v>
      </c>
      <c r="M118" s="578">
        <v>81665</v>
      </c>
      <c r="N118" s="578">
        <v>1949.06</v>
      </c>
      <c r="O118" s="578">
        <v>0</v>
      </c>
      <c r="P118" s="578">
        <v>3485.96</v>
      </c>
      <c r="Q118" s="578">
        <v>0</v>
      </c>
      <c r="R118" s="578">
        <v>9463.76</v>
      </c>
      <c r="S118" s="578">
        <v>0</v>
      </c>
      <c r="T118" s="578">
        <v>0</v>
      </c>
      <c r="U118" s="578">
        <v>7141.55</v>
      </c>
      <c r="V118" s="578">
        <v>0</v>
      </c>
      <c r="W118" s="578"/>
      <c r="X118" s="578">
        <v>0</v>
      </c>
      <c r="Y118" s="578">
        <v>0</v>
      </c>
      <c r="Z118" s="578">
        <v>0</v>
      </c>
      <c r="AA118" s="578">
        <v>0</v>
      </c>
      <c r="AB118" s="578">
        <v>6226.56</v>
      </c>
      <c r="AC118" s="578">
        <v>6660</v>
      </c>
      <c r="AD118" s="578">
        <v>44536</v>
      </c>
      <c r="AE118" s="578">
        <v>585733.21</v>
      </c>
      <c r="AF118" s="578">
        <v>0</v>
      </c>
      <c r="AG118" s="578">
        <v>241593.92</v>
      </c>
      <c r="AH118" s="578">
        <v>49446.5</v>
      </c>
      <c r="AI118" s="578">
        <v>48032.66</v>
      </c>
      <c r="AJ118" s="578">
        <v>0</v>
      </c>
      <c r="AK118" s="578">
        <v>33768.83</v>
      </c>
      <c r="AL118" s="578">
        <v>200.9</v>
      </c>
      <c r="AM118" s="578">
        <v>9690.36</v>
      </c>
      <c r="AN118" s="578">
        <v>0</v>
      </c>
      <c r="AO118" s="578">
        <v>0</v>
      </c>
      <c r="AP118" s="578">
        <v>23228.39</v>
      </c>
      <c r="AQ118" s="578">
        <v>3003.29</v>
      </c>
      <c r="AR118" s="578">
        <v>13214.35</v>
      </c>
      <c r="AS118" s="578">
        <v>6118.72</v>
      </c>
      <c r="AT118" s="578">
        <v>13646.28</v>
      </c>
      <c r="AU118" s="578">
        <v>3704.83</v>
      </c>
      <c r="AV118" s="578">
        <v>2493.14</v>
      </c>
      <c r="AW118" s="578">
        <v>53988.45</v>
      </c>
      <c r="AX118" s="578">
        <v>4659.84</v>
      </c>
      <c r="AY118" s="578">
        <v>0</v>
      </c>
      <c r="AZ118" s="578">
        <v>6309.61</v>
      </c>
      <c r="BA118" s="578">
        <v>5098.66</v>
      </c>
      <c r="BB118" s="578">
        <v>0</v>
      </c>
      <c r="BC118" s="578">
        <v>57767.08</v>
      </c>
      <c r="BD118" s="578">
        <v>22305.9</v>
      </c>
      <c r="BE118" s="578">
        <v>37969.519999999997</v>
      </c>
      <c r="BF118" s="578">
        <v>35522.6</v>
      </c>
      <c r="BG118" s="578">
        <v>0</v>
      </c>
      <c r="BH118" s="578">
        <v>141.01</v>
      </c>
      <c r="BI118" s="578">
        <v>0</v>
      </c>
      <c r="BJ118" s="578">
        <v>0</v>
      </c>
      <c r="BK118" s="578">
        <v>0</v>
      </c>
      <c r="BL118" s="578">
        <v>0</v>
      </c>
      <c r="BM118" s="578">
        <v>0</v>
      </c>
      <c r="BN118" s="578">
        <v>0</v>
      </c>
      <c r="BO118" s="578">
        <v>10000</v>
      </c>
      <c r="BP118" s="578">
        <v>0</v>
      </c>
      <c r="BQ118" s="578">
        <v>0</v>
      </c>
      <c r="BR118" s="578">
        <v>0</v>
      </c>
      <c r="BS118" s="578">
        <v>0</v>
      </c>
      <c r="BT118" s="578">
        <v>0</v>
      </c>
      <c r="BU118" s="578">
        <v>133336.76</v>
      </c>
      <c r="BV118" s="578">
        <v>0</v>
      </c>
      <c r="BW118" s="578">
        <v>0</v>
      </c>
      <c r="BX118" s="578">
        <v>0</v>
      </c>
      <c r="BY118" s="578">
        <v>0</v>
      </c>
      <c r="BZ118" s="578">
        <v>1211476.47</v>
      </c>
      <c r="CA118" s="578">
        <v>1257638.05</v>
      </c>
      <c r="CB118" s="578">
        <v>0</v>
      </c>
      <c r="CC118" s="578">
        <v>0</v>
      </c>
      <c r="CD118" s="578">
        <v>133336.76</v>
      </c>
    </row>
    <row r="119" spans="1:82" hidden="1" x14ac:dyDescent="0.3">
      <c r="A119" s="574" t="s">
        <v>1704</v>
      </c>
      <c r="B119" s="577">
        <v>3302133</v>
      </c>
      <c r="C119" s="574">
        <f>_xlfn.XLOOKUP(B119,'[1]Blade-Export_15-08-2022_sources'!B:B,'[1]Blade-Export_15-08-2022_sources'!F:F,0,FALSE)</f>
        <v>330</v>
      </c>
      <c r="D119" s="574">
        <f>_xlfn.XLOOKUP($B119,'[1]Blade-Export_15-08-2022_sources'!$B:$B,'[1]Blade-Export_15-08-2022_sources'!G:G,0,FALSE)</f>
        <v>2133</v>
      </c>
      <c r="E119" s="574" t="str">
        <f>_xlfn.XLOOKUP($B119,'[1]Blade-Export_15-08-2022_sources'!$B:$B,'[1]Blade-Export_15-08-2022_sources'!H:H,0,FALSE)</f>
        <v xml:space="preserve">MARSH HILL JI </v>
      </c>
      <c r="F119" s="578">
        <v>537417.63</v>
      </c>
      <c r="G119" s="578">
        <v>0</v>
      </c>
      <c r="H119" s="578">
        <v>42921.93</v>
      </c>
      <c r="I119" s="578">
        <v>2151481.35</v>
      </c>
      <c r="J119" s="578">
        <v>0</v>
      </c>
      <c r="K119" s="578">
        <v>40980.5</v>
      </c>
      <c r="L119" s="578">
        <v>0</v>
      </c>
      <c r="M119" s="578">
        <v>252515</v>
      </c>
      <c r="N119" s="578">
        <v>5729.06</v>
      </c>
      <c r="O119" s="578">
        <v>0</v>
      </c>
      <c r="P119" s="578">
        <v>50071.360000000001</v>
      </c>
      <c r="Q119" s="578">
        <v>0</v>
      </c>
      <c r="R119" s="578">
        <v>3181.45</v>
      </c>
      <c r="S119" s="578">
        <v>0</v>
      </c>
      <c r="T119" s="578">
        <v>0</v>
      </c>
      <c r="U119" s="578">
        <v>0</v>
      </c>
      <c r="V119" s="578">
        <v>0</v>
      </c>
      <c r="W119" s="578"/>
      <c r="X119" s="578">
        <v>0</v>
      </c>
      <c r="Y119" s="578">
        <v>0</v>
      </c>
      <c r="Z119" s="578">
        <v>0</v>
      </c>
      <c r="AA119" s="578">
        <v>0</v>
      </c>
      <c r="AB119" s="578">
        <v>19286.560000000001</v>
      </c>
      <c r="AC119" s="578">
        <v>13700</v>
      </c>
      <c r="AD119" s="578">
        <v>59764</v>
      </c>
      <c r="AE119" s="578">
        <v>999753.94</v>
      </c>
      <c r="AF119" s="578">
        <v>0</v>
      </c>
      <c r="AG119" s="578">
        <v>419428.62</v>
      </c>
      <c r="AH119" s="578">
        <v>0</v>
      </c>
      <c r="AI119" s="578">
        <v>126873.95</v>
      </c>
      <c r="AJ119" s="578">
        <v>74916.52</v>
      </c>
      <c r="AK119" s="578">
        <v>208437.74</v>
      </c>
      <c r="AL119" s="578">
        <v>7329.89</v>
      </c>
      <c r="AM119" s="578">
        <v>6114.04</v>
      </c>
      <c r="AN119" s="578">
        <v>0</v>
      </c>
      <c r="AO119" s="578">
        <v>0</v>
      </c>
      <c r="AP119" s="578">
        <v>14868.85</v>
      </c>
      <c r="AQ119" s="578">
        <v>0</v>
      </c>
      <c r="AR119" s="578">
        <v>0</v>
      </c>
      <c r="AS119" s="578">
        <v>8528.73</v>
      </c>
      <c r="AT119" s="578">
        <v>34671.21</v>
      </c>
      <c r="AU119" s="578">
        <v>45024</v>
      </c>
      <c r="AV119" s="578">
        <v>7118.25</v>
      </c>
      <c r="AW119" s="578">
        <v>156699.9</v>
      </c>
      <c r="AX119" s="578">
        <v>11096.18</v>
      </c>
      <c r="AY119" s="578">
        <v>0</v>
      </c>
      <c r="AZ119" s="578">
        <v>21583.21</v>
      </c>
      <c r="BA119" s="578">
        <v>9345.7800000000007</v>
      </c>
      <c r="BB119" s="578">
        <v>0</v>
      </c>
      <c r="BC119" s="578">
        <v>52519.7</v>
      </c>
      <c r="BD119" s="578">
        <v>10930.45</v>
      </c>
      <c r="BE119" s="578">
        <v>14280</v>
      </c>
      <c r="BF119" s="578">
        <v>416392.35</v>
      </c>
      <c r="BG119" s="578">
        <v>0</v>
      </c>
      <c r="BH119" s="578">
        <v>239.13</v>
      </c>
      <c r="BI119" s="578">
        <v>0</v>
      </c>
      <c r="BJ119" s="578">
        <v>0</v>
      </c>
      <c r="BK119" s="578">
        <v>0</v>
      </c>
      <c r="BL119" s="578">
        <v>8668.75</v>
      </c>
      <c r="BM119" s="578">
        <v>0</v>
      </c>
      <c r="BN119" s="578">
        <v>0</v>
      </c>
      <c r="BO119" s="578">
        <v>10000</v>
      </c>
      <c r="BP119" s="578">
        <v>0</v>
      </c>
      <c r="BQ119" s="578">
        <v>0</v>
      </c>
      <c r="BR119" s="578">
        <v>0</v>
      </c>
      <c r="BS119" s="578">
        <v>0</v>
      </c>
      <c r="BT119" s="578">
        <v>0</v>
      </c>
      <c r="BU119" s="578">
        <v>487974.48</v>
      </c>
      <c r="BV119" s="578">
        <v>51590.68</v>
      </c>
      <c r="BW119" s="578">
        <v>0</v>
      </c>
      <c r="BX119" s="578">
        <v>0</v>
      </c>
      <c r="BY119" s="578">
        <v>0</v>
      </c>
      <c r="BZ119" s="578">
        <v>2596709.2799999998</v>
      </c>
      <c r="CA119" s="578">
        <v>2646152.44</v>
      </c>
      <c r="CB119" s="578">
        <v>8668.75</v>
      </c>
      <c r="CC119" s="578">
        <v>0</v>
      </c>
      <c r="CD119" s="578">
        <v>539565.16</v>
      </c>
    </row>
    <row r="120" spans="1:82" hidden="1" x14ac:dyDescent="0.3">
      <c r="A120" s="574" t="s">
        <v>1705</v>
      </c>
      <c r="B120" s="577">
        <v>3301012</v>
      </c>
      <c r="C120" s="574">
        <f>_xlfn.XLOOKUP(B120,'[1]Blade-Export_15-08-2022_sources'!B:B,'[1]Blade-Export_15-08-2022_sources'!F:F,0,FALSE)</f>
        <v>330</v>
      </c>
      <c r="D120" s="574">
        <f>_xlfn.XLOOKUP($B120,'[1]Blade-Export_15-08-2022_sources'!$B:$B,'[1]Blade-Export_15-08-2022_sources'!G:G,0,FALSE)</f>
        <v>1012</v>
      </c>
      <c r="E120" s="574" t="str">
        <f>_xlfn.XLOOKUP($B120,'[1]Blade-Export_15-08-2022_sources'!$B:$B,'[1]Blade-Export_15-08-2022_sources'!H:H,0,FALSE)</f>
        <v>MARSH HILL Nurs</v>
      </c>
      <c r="F120" s="578">
        <v>207113.78</v>
      </c>
      <c r="G120" s="578">
        <v>0</v>
      </c>
      <c r="H120" s="578">
        <v>15263.95</v>
      </c>
      <c r="I120" s="578">
        <v>539473.78</v>
      </c>
      <c r="J120" s="578">
        <v>0</v>
      </c>
      <c r="K120" s="578">
        <v>0</v>
      </c>
      <c r="L120" s="578">
        <v>0</v>
      </c>
      <c r="M120" s="578">
        <v>0</v>
      </c>
      <c r="N120" s="578">
        <v>0</v>
      </c>
      <c r="O120" s="578">
        <v>0</v>
      </c>
      <c r="P120" s="578">
        <v>0</v>
      </c>
      <c r="Q120" s="578">
        <v>240.67</v>
      </c>
      <c r="R120" s="578">
        <v>0</v>
      </c>
      <c r="S120" s="578">
        <v>0</v>
      </c>
      <c r="T120" s="578">
        <v>0</v>
      </c>
      <c r="U120" s="578">
        <v>1115</v>
      </c>
      <c r="V120" s="578">
        <v>0</v>
      </c>
      <c r="W120" s="578"/>
      <c r="X120" s="578">
        <v>0</v>
      </c>
      <c r="Y120" s="578">
        <v>0</v>
      </c>
      <c r="Z120" s="578">
        <v>0</v>
      </c>
      <c r="AA120" s="578">
        <v>0</v>
      </c>
      <c r="AB120" s="578">
        <v>0</v>
      </c>
      <c r="AC120" s="578">
        <v>0</v>
      </c>
      <c r="AD120" s="578">
        <v>0</v>
      </c>
      <c r="AE120" s="578">
        <v>281038.81</v>
      </c>
      <c r="AF120" s="578">
        <v>0</v>
      </c>
      <c r="AG120" s="578">
        <v>94623.69</v>
      </c>
      <c r="AH120" s="578">
        <v>0</v>
      </c>
      <c r="AI120" s="578">
        <v>35007.410000000003</v>
      </c>
      <c r="AJ120" s="578">
        <v>0</v>
      </c>
      <c r="AK120" s="578">
        <v>17083.580000000002</v>
      </c>
      <c r="AL120" s="578">
        <v>766.9</v>
      </c>
      <c r="AM120" s="578">
        <v>1064.83</v>
      </c>
      <c r="AN120" s="578">
        <v>0</v>
      </c>
      <c r="AO120" s="578">
        <v>0</v>
      </c>
      <c r="AP120" s="578">
        <v>44612.87</v>
      </c>
      <c r="AQ120" s="578">
        <v>106.48</v>
      </c>
      <c r="AR120" s="578">
        <v>14316.42</v>
      </c>
      <c r="AS120" s="578">
        <v>826.22</v>
      </c>
      <c r="AT120" s="578">
        <v>4366.05</v>
      </c>
      <c r="AU120" s="578">
        <v>6611.75</v>
      </c>
      <c r="AV120" s="578">
        <v>406.02</v>
      </c>
      <c r="AW120" s="578">
        <v>10996.23</v>
      </c>
      <c r="AX120" s="578">
        <v>2116.9499999999998</v>
      </c>
      <c r="AY120" s="578">
        <v>0</v>
      </c>
      <c r="AZ120" s="578">
        <v>1268.6500000000001</v>
      </c>
      <c r="BA120" s="578">
        <v>2850</v>
      </c>
      <c r="BB120" s="578">
        <v>0</v>
      </c>
      <c r="BC120" s="578">
        <v>2022.92</v>
      </c>
      <c r="BD120" s="578">
        <v>6659.22</v>
      </c>
      <c r="BE120" s="578">
        <v>3915</v>
      </c>
      <c r="BF120" s="578">
        <v>45136.13</v>
      </c>
      <c r="BG120" s="578">
        <v>0</v>
      </c>
      <c r="BH120" s="578">
        <v>0</v>
      </c>
      <c r="BI120" s="578">
        <v>0</v>
      </c>
      <c r="BJ120" s="578">
        <v>0</v>
      </c>
      <c r="BK120" s="578">
        <v>0</v>
      </c>
      <c r="BL120" s="578">
        <v>5059.75</v>
      </c>
      <c r="BM120" s="578">
        <v>0</v>
      </c>
      <c r="BN120" s="578">
        <v>0</v>
      </c>
      <c r="BO120" s="578">
        <v>10000</v>
      </c>
      <c r="BP120" s="578">
        <v>0</v>
      </c>
      <c r="BQ120" s="578">
        <v>0</v>
      </c>
      <c r="BR120" s="578">
        <v>0</v>
      </c>
      <c r="BS120" s="578">
        <v>0</v>
      </c>
      <c r="BT120" s="578">
        <v>0</v>
      </c>
      <c r="BU120" s="578">
        <v>172147.09</v>
      </c>
      <c r="BV120" s="578">
        <v>20323.7</v>
      </c>
      <c r="BW120" s="578">
        <v>0</v>
      </c>
      <c r="BX120" s="578">
        <v>0</v>
      </c>
      <c r="BY120" s="578">
        <v>0</v>
      </c>
      <c r="BZ120" s="578">
        <v>540829.44999999995</v>
      </c>
      <c r="CA120" s="578">
        <v>575796.13</v>
      </c>
      <c r="CB120" s="578">
        <v>5059.75</v>
      </c>
      <c r="CC120" s="578">
        <v>0</v>
      </c>
      <c r="CD120" s="578">
        <v>192470.79</v>
      </c>
    </row>
    <row r="121" spans="1:82" hidden="1" x14ac:dyDescent="0.3">
      <c r="A121" s="574" t="s">
        <v>1706</v>
      </c>
      <c r="B121" s="577">
        <v>3302004</v>
      </c>
      <c r="C121" s="574">
        <f>_xlfn.XLOOKUP(B121,'[1]Blade-Export_15-08-2022_sources'!B:B,'[1]Blade-Export_15-08-2022_sources'!F:F,0,FALSE)</f>
        <v>330</v>
      </c>
      <c r="D121" s="574">
        <f>_xlfn.XLOOKUP($B121,'[1]Blade-Export_15-08-2022_sources'!$B:$B,'[1]Blade-Export_15-08-2022_sources'!G:G,0,FALSE)</f>
        <v>2004</v>
      </c>
      <c r="E121" s="574" t="str">
        <f>_xlfn.XLOOKUP($B121,'[1]Blade-Export_15-08-2022_sources'!$B:$B,'[1]Blade-Export_15-08-2022_sources'!H:H,0,FALSE)</f>
        <v>MAPLEDENE JI NC</v>
      </c>
      <c r="F121" s="578">
        <v>192900.38</v>
      </c>
      <c r="G121" s="578">
        <v>0</v>
      </c>
      <c r="H121" s="578">
        <v>47121.9</v>
      </c>
      <c r="I121" s="578">
        <v>1542009.39</v>
      </c>
      <c r="J121" s="578">
        <v>0</v>
      </c>
      <c r="K121" s="578">
        <v>3375.95</v>
      </c>
      <c r="L121" s="578">
        <v>0</v>
      </c>
      <c r="M121" s="578">
        <v>160055</v>
      </c>
      <c r="N121" s="578">
        <v>3780</v>
      </c>
      <c r="O121" s="578">
        <v>0</v>
      </c>
      <c r="P121" s="578">
        <v>91863.43</v>
      </c>
      <c r="Q121" s="578">
        <v>170.19</v>
      </c>
      <c r="R121" s="578">
        <v>0</v>
      </c>
      <c r="S121" s="578">
        <v>0</v>
      </c>
      <c r="T121" s="578">
        <v>0</v>
      </c>
      <c r="U121" s="578">
        <v>0</v>
      </c>
      <c r="V121" s="578">
        <v>0</v>
      </c>
      <c r="W121" s="578"/>
      <c r="X121" s="578">
        <v>0</v>
      </c>
      <c r="Y121" s="578">
        <v>0</v>
      </c>
      <c r="Z121" s="578">
        <v>0</v>
      </c>
      <c r="AA121" s="578">
        <v>0</v>
      </c>
      <c r="AB121" s="578">
        <v>13607.5</v>
      </c>
      <c r="AC121" s="578">
        <v>10700</v>
      </c>
      <c r="AD121" s="578">
        <v>46091</v>
      </c>
      <c r="AE121" s="578">
        <v>1062279.8</v>
      </c>
      <c r="AF121" s="578">
        <v>0</v>
      </c>
      <c r="AG121" s="578">
        <v>177147.84</v>
      </c>
      <c r="AH121" s="578">
        <v>49323.15</v>
      </c>
      <c r="AI121" s="578">
        <v>138320.91</v>
      </c>
      <c r="AJ121" s="578">
        <v>299</v>
      </c>
      <c r="AK121" s="578">
        <v>41200.6</v>
      </c>
      <c r="AL121" s="578">
        <v>730.4</v>
      </c>
      <c r="AM121" s="578">
        <v>1740</v>
      </c>
      <c r="AN121" s="578">
        <v>0</v>
      </c>
      <c r="AO121" s="578">
        <v>0</v>
      </c>
      <c r="AP121" s="578">
        <v>15457.4</v>
      </c>
      <c r="AQ121" s="578">
        <v>7995.49</v>
      </c>
      <c r="AR121" s="578">
        <v>0</v>
      </c>
      <c r="AS121" s="578">
        <v>4952.67</v>
      </c>
      <c r="AT121" s="578">
        <v>32146.51</v>
      </c>
      <c r="AU121" s="578">
        <v>22943.4</v>
      </c>
      <c r="AV121" s="578">
        <v>8319.0400000000009</v>
      </c>
      <c r="AW121" s="578">
        <v>41587.14</v>
      </c>
      <c r="AX121" s="578">
        <v>15566.52</v>
      </c>
      <c r="AY121" s="578">
        <v>0</v>
      </c>
      <c r="AZ121" s="578">
        <v>26057.86</v>
      </c>
      <c r="BA121" s="578">
        <v>8200</v>
      </c>
      <c r="BB121" s="578">
        <v>0</v>
      </c>
      <c r="BC121" s="578">
        <v>35251.4</v>
      </c>
      <c r="BD121" s="578">
        <v>63495</v>
      </c>
      <c r="BE121" s="578">
        <v>4029.54</v>
      </c>
      <c r="BF121" s="578">
        <v>185777.58</v>
      </c>
      <c r="BG121" s="578">
        <v>0</v>
      </c>
      <c r="BH121" s="578">
        <v>0</v>
      </c>
      <c r="BI121" s="578">
        <v>0</v>
      </c>
      <c r="BJ121" s="578">
        <v>0</v>
      </c>
      <c r="BK121" s="578">
        <v>0</v>
      </c>
      <c r="BL121" s="578">
        <v>7825</v>
      </c>
      <c r="BM121" s="578">
        <v>0</v>
      </c>
      <c r="BN121" s="578">
        <v>0</v>
      </c>
      <c r="BO121" s="578">
        <v>10000</v>
      </c>
      <c r="BP121" s="578">
        <v>0</v>
      </c>
      <c r="BQ121" s="578">
        <v>0</v>
      </c>
      <c r="BR121" s="578">
        <v>0</v>
      </c>
      <c r="BS121" s="578">
        <v>0</v>
      </c>
      <c r="BT121" s="578">
        <v>0</v>
      </c>
      <c r="BU121" s="578">
        <v>121731.58</v>
      </c>
      <c r="BV121" s="578">
        <v>54946.9</v>
      </c>
      <c r="BW121" s="578">
        <v>0</v>
      </c>
      <c r="BX121" s="578">
        <v>0</v>
      </c>
      <c r="BY121" s="578">
        <v>0</v>
      </c>
      <c r="BZ121" s="578">
        <v>1871652.46</v>
      </c>
      <c r="CA121" s="578">
        <v>1942821.25</v>
      </c>
      <c r="CB121" s="578">
        <v>7825</v>
      </c>
      <c r="CC121" s="578">
        <v>0</v>
      </c>
      <c r="CD121" s="578">
        <v>176678.48</v>
      </c>
    </row>
    <row r="122" spans="1:82" hidden="1" x14ac:dyDescent="0.3">
      <c r="A122" s="574" t="s">
        <v>1707</v>
      </c>
      <c r="B122" s="577">
        <v>3302420</v>
      </c>
      <c r="C122" s="574">
        <f>_xlfn.XLOOKUP(B122,'[1]Blade-Export_15-08-2022_sources'!B:B,'[1]Blade-Export_15-08-2022_sources'!F:F,0,FALSE)</f>
        <v>330</v>
      </c>
      <c r="D122" s="574">
        <f>_xlfn.XLOOKUP($B122,'[1]Blade-Export_15-08-2022_sources'!$B:$B,'[1]Blade-Export_15-08-2022_sources'!G:G,0,FALSE)</f>
        <v>2420</v>
      </c>
      <c r="E122" s="574" t="str">
        <f>_xlfn.XLOOKUP($B122,'[1]Blade-Export_15-08-2022_sources'!$B:$B,'[1]Blade-Export_15-08-2022_sources'!H:H,0,FALSE)</f>
        <v xml:space="preserve">MANEY HILL JI </v>
      </c>
      <c r="F122" s="578">
        <v>234700.28</v>
      </c>
      <c r="G122" s="578">
        <v>0</v>
      </c>
      <c r="H122" s="578">
        <v>21286.82</v>
      </c>
      <c r="I122" s="578">
        <v>1717721.09</v>
      </c>
      <c r="J122" s="578">
        <v>0</v>
      </c>
      <c r="K122" s="578">
        <v>45002.1</v>
      </c>
      <c r="L122" s="578">
        <v>0</v>
      </c>
      <c r="M122" s="578">
        <v>31520</v>
      </c>
      <c r="N122" s="578">
        <v>708.75</v>
      </c>
      <c r="O122" s="578">
        <v>0</v>
      </c>
      <c r="P122" s="578">
        <v>104484.8</v>
      </c>
      <c r="Q122" s="578">
        <v>328.58</v>
      </c>
      <c r="R122" s="578">
        <v>689.89</v>
      </c>
      <c r="S122" s="578">
        <v>0</v>
      </c>
      <c r="T122" s="578">
        <v>0</v>
      </c>
      <c r="U122" s="578">
        <v>89031.61</v>
      </c>
      <c r="V122" s="578">
        <v>0</v>
      </c>
      <c r="W122" s="578"/>
      <c r="X122" s="578">
        <v>0</v>
      </c>
      <c r="Y122" s="578">
        <v>0</v>
      </c>
      <c r="Z122" s="578">
        <v>0</v>
      </c>
      <c r="AA122" s="578">
        <v>0</v>
      </c>
      <c r="AB122" s="578">
        <v>2158.75</v>
      </c>
      <c r="AC122" s="578">
        <v>13000</v>
      </c>
      <c r="AD122" s="578">
        <v>89502</v>
      </c>
      <c r="AE122" s="578">
        <v>870672.95</v>
      </c>
      <c r="AF122" s="578">
        <v>0</v>
      </c>
      <c r="AG122" s="578">
        <v>191460.7</v>
      </c>
      <c r="AH122" s="578">
        <v>25201.82</v>
      </c>
      <c r="AI122" s="578">
        <v>151247.04999999999</v>
      </c>
      <c r="AJ122" s="578">
        <v>0</v>
      </c>
      <c r="AK122" s="578">
        <v>155506.53</v>
      </c>
      <c r="AL122" s="578">
        <v>1261.8</v>
      </c>
      <c r="AM122" s="578">
        <v>532.5</v>
      </c>
      <c r="AN122" s="578">
        <v>0</v>
      </c>
      <c r="AO122" s="578">
        <v>0</v>
      </c>
      <c r="AP122" s="578">
        <v>19408.93</v>
      </c>
      <c r="AQ122" s="578">
        <v>3349.08</v>
      </c>
      <c r="AR122" s="578">
        <v>7172.96</v>
      </c>
      <c r="AS122" s="578">
        <v>3116.95</v>
      </c>
      <c r="AT122" s="578">
        <v>25710</v>
      </c>
      <c r="AU122" s="578">
        <v>23821.01</v>
      </c>
      <c r="AV122" s="578">
        <v>2239.41</v>
      </c>
      <c r="AW122" s="578">
        <v>30994.75</v>
      </c>
      <c r="AX122" s="578">
        <v>14896.78</v>
      </c>
      <c r="AY122" s="578">
        <v>0</v>
      </c>
      <c r="AZ122" s="578">
        <v>171944.82</v>
      </c>
      <c r="BA122" s="578">
        <v>8447.5</v>
      </c>
      <c r="BB122" s="578">
        <v>0</v>
      </c>
      <c r="BC122" s="578">
        <v>35416.639999999999</v>
      </c>
      <c r="BD122" s="578">
        <v>83109</v>
      </c>
      <c r="BE122" s="578">
        <v>1594</v>
      </c>
      <c r="BF122" s="578">
        <v>95358.37</v>
      </c>
      <c r="BG122" s="578">
        <v>0</v>
      </c>
      <c r="BH122" s="578">
        <v>0</v>
      </c>
      <c r="BI122" s="578">
        <v>0</v>
      </c>
      <c r="BJ122" s="578">
        <v>0</v>
      </c>
      <c r="BK122" s="578">
        <v>0</v>
      </c>
      <c r="BL122" s="578">
        <v>8050</v>
      </c>
      <c r="BM122" s="578">
        <v>0</v>
      </c>
      <c r="BN122" s="578">
        <v>0</v>
      </c>
      <c r="BO122" s="578">
        <v>10000</v>
      </c>
      <c r="BP122" s="578">
        <v>0</v>
      </c>
      <c r="BQ122" s="578">
        <v>0</v>
      </c>
      <c r="BR122" s="578">
        <v>0</v>
      </c>
      <c r="BS122" s="578">
        <v>0</v>
      </c>
      <c r="BT122" s="578">
        <v>0</v>
      </c>
      <c r="BU122" s="578">
        <v>406384.3</v>
      </c>
      <c r="BV122" s="578">
        <v>29336.82</v>
      </c>
      <c r="BW122" s="578">
        <v>0</v>
      </c>
      <c r="BX122" s="578">
        <v>0</v>
      </c>
      <c r="BY122" s="578">
        <v>0</v>
      </c>
      <c r="BZ122" s="578">
        <v>2094147.57</v>
      </c>
      <c r="CA122" s="578">
        <v>1922463.55</v>
      </c>
      <c r="CB122" s="578">
        <v>8050</v>
      </c>
      <c r="CC122" s="578">
        <v>0</v>
      </c>
      <c r="CD122" s="578">
        <v>435721.12</v>
      </c>
    </row>
    <row r="123" spans="1:82" hidden="1" x14ac:dyDescent="0.3">
      <c r="A123" s="574" t="s">
        <v>1708</v>
      </c>
      <c r="B123" s="577">
        <v>3302128</v>
      </c>
      <c r="C123" s="574">
        <f>_xlfn.XLOOKUP(B123,'[1]Blade-Export_15-08-2022_sources'!B:B,'[1]Blade-Export_15-08-2022_sources'!F:F,0,FALSE)</f>
        <v>330</v>
      </c>
      <c r="D123" s="574">
        <f>_xlfn.XLOOKUP($B123,'[1]Blade-Export_15-08-2022_sources'!$B:$B,'[1]Blade-Export_15-08-2022_sources'!G:G,0,FALSE)</f>
        <v>2128</v>
      </c>
      <c r="E123" s="574" t="str">
        <f>_xlfn.XLOOKUP($B123,'[1]Blade-Export_15-08-2022_sources'!$B:$B,'[1]Blade-Export_15-08-2022_sources'!H:H,0,FALSE)</f>
        <v xml:space="preserve">LYNDON GREEN J </v>
      </c>
      <c r="F123" s="578">
        <v>469282.9</v>
      </c>
      <c r="G123" s="578">
        <v>0</v>
      </c>
      <c r="H123" s="578">
        <v>0.2</v>
      </c>
      <c r="I123" s="578">
        <v>1714362.62</v>
      </c>
      <c r="J123" s="578">
        <v>0</v>
      </c>
      <c r="K123" s="578">
        <v>158852.85</v>
      </c>
      <c r="L123" s="578">
        <v>0</v>
      </c>
      <c r="M123" s="578">
        <v>154675</v>
      </c>
      <c r="N123" s="578">
        <v>4265.63</v>
      </c>
      <c r="O123" s="578">
        <v>0</v>
      </c>
      <c r="P123" s="578">
        <v>95617.04</v>
      </c>
      <c r="Q123" s="578">
        <v>0</v>
      </c>
      <c r="R123" s="578">
        <v>23200.81</v>
      </c>
      <c r="S123" s="578">
        <v>0</v>
      </c>
      <c r="T123" s="578">
        <v>0</v>
      </c>
      <c r="U123" s="578">
        <v>13592.21</v>
      </c>
      <c r="V123" s="578">
        <v>0</v>
      </c>
      <c r="W123" s="578"/>
      <c r="X123" s="578">
        <v>0</v>
      </c>
      <c r="Y123" s="578">
        <v>0</v>
      </c>
      <c r="Z123" s="578">
        <v>0</v>
      </c>
      <c r="AA123" s="578">
        <v>0</v>
      </c>
      <c r="AB123" s="578">
        <v>14072.13</v>
      </c>
      <c r="AC123" s="578">
        <v>13200</v>
      </c>
      <c r="AD123" s="578">
        <v>19669</v>
      </c>
      <c r="AE123" s="578">
        <v>1060540.17</v>
      </c>
      <c r="AF123" s="578">
        <v>0</v>
      </c>
      <c r="AG123" s="578">
        <v>180005.79</v>
      </c>
      <c r="AH123" s="578">
        <v>50523.97</v>
      </c>
      <c r="AI123" s="578">
        <v>92836.87</v>
      </c>
      <c r="AJ123" s="578">
        <v>97008.93</v>
      </c>
      <c r="AK123" s="578">
        <v>38772.93</v>
      </c>
      <c r="AL123" s="578">
        <v>328.7</v>
      </c>
      <c r="AM123" s="578">
        <v>6321.2</v>
      </c>
      <c r="AN123" s="578">
        <v>0</v>
      </c>
      <c r="AO123" s="578">
        <v>0</v>
      </c>
      <c r="AP123" s="578">
        <v>70832.820000000007</v>
      </c>
      <c r="AQ123" s="578">
        <v>10499.86</v>
      </c>
      <c r="AR123" s="578">
        <v>9384.57</v>
      </c>
      <c r="AS123" s="578">
        <v>11113.37</v>
      </c>
      <c r="AT123" s="578">
        <v>37672.120000000003</v>
      </c>
      <c r="AU123" s="578">
        <v>18462.41</v>
      </c>
      <c r="AV123" s="578">
        <v>10715.91</v>
      </c>
      <c r="AW123" s="578">
        <v>119501.07</v>
      </c>
      <c r="AX123" s="578">
        <v>79107.009999999995</v>
      </c>
      <c r="AY123" s="578">
        <v>0</v>
      </c>
      <c r="AZ123" s="578">
        <v>11846.74</v>
      </c>
      <c r="BA123" s="578">
        <v>8850</v>
      </c>
      <c r="BB123" s="578">
        <v>0</v>
      </c>
      <c r="BC123" s="578">
        <v>67981.66</v>
      </c>
      <c r="BD123" s="578">
        <v>130642.59</v>
      </c>
      <c r="BE123" s="578">
        <v>42739.37</v>
      </c>
      <c r="BF123" s="578">
        <v>103448.62</v>
      </c>
      <c r="BG123" s="578">
        <v>0</v>
      </c>
      <c r="BH123" s="578">
        <v>221.41</v>
      </c>
      <c r="BI123" s="578">
        <v>38627.370000000003</v>
      </c>
      <c r="BJ123" s="578">
        <v>0</v>
      </c>
      <c r="BK123" s="578">
        <v>0</v>
      </c>
      <c r="BL123" s="578">
        <v>8095</v>
      </c>
      <c r="BM123" s="578">
        <v>0</v>
      </c>
      <c r="BN123" s="578">
        <v>0</v>
      </c>
      <c r="BO123" s="578">
        <v>10000</v>
      </c>
      <c r="BP123" s="578">
        <v>0</v>
      </c>
      <c r="BQ123" s="578">
        <v>0</v>
      </c>
      <c r="BR123" s="578">
        <v>0</v>
      </c>
      <c r="BS123" s="578">
        <v>0</v>
      </c>
      <c r="BT123" s="578">
        <v>0</v>
      </c>
      <c r="BU123" s="578">
        <v>382804.72</v>
      </c>
      <c r="BV123" s="578">
        <v>8095.2</v>
      </c>
      <c r="BW123" s="578">
        <v>0</v>
      </c>
      <c r="BX123" s="578">
        <v>0</v>
      </c>
      <c r="BY123" s="578">
        <v>0</v>
      </c>
      <c r="BZ123" s="578">
        <v>2211507.29</v>
      </c>
      <c r="CA123" s="578">
        <v>2297985.46</v>
      </c>
      <c r="CB123" s="578">
        <v>8095</v>
      </c>
      <c r="CC123" s="578">
        <v>0</v>
      </c>
      <c r="CD123" s="578">
        <v>390899.92</v>
      </c>
    </row>
    <row r="124" spans="1:82" hidden="1" x14ac:dyDescent="0.3">
      <c r="A124" s="574" t="s">
        <v>1709</v>
      </c>
      <c r="B124" s="577">
        <v>3302129</v>
      </c>
      <c r="C124" s="574">
        <f>_xlfn.XLOOKUP(B124,'[1]Blade-Export_15-08-2022_sources'!B:B,'[1]Blade-Export_15-08-2022_sources'!F:F,0,FALSE)</f>
        <v>330</v>
      </c>
      <c r="D124" s="574">
        <f>_xlfn.XLOOKUP($B124,'[1]Blade-Export_15-08-2022_sources'!$B:$B,'[1]Blade-Export_15-08-2022_sources'!G:G,0,FALSE)</f>
        <v>2129</v>
      </c>
      <c r="E124" s="574" t="str">
        <f>_xlfn.XLOOKUP($B124,'[1]Blade-Export_15-08-2022_sources'!$B:$B,'[1]Blade-Export_15-08-2022_sources'!H:H,0,FALSE)</f>
        <v xml:space="preserve">LYNDON GREEN I </v>
      </c>
      <c r="F124" s="578">
        <v>147339.17000000001</v>
      </c>
      <c r="G124" s="578">
        <v>0</v>
      </c>
      <c r="H124" s="578">
        <v>33556.639999999999</v>
      </c>
      <c r="I124" s="578">
        <v>1370050.99</v>
      </c>
      <c r="J124" s="578">
        <v>0</v>
      </c>
      <c r="K124" s="578">
        <v>125784.55</v>
      </c>
      <c r="L124" s="578">
        <v>0</v>
      </c>
      <c r="M124" s="578">
        <v>84355</v>
      </c>
      <c r="N124" s="578">
        <v>1571.72</v>
      </c>
      <c r="O124" s="578">
        <v>0</v>
      </c>
      <c r="P124" s="578">
        <v>9795.52</v>
      </c>
      <c r="Q124" s="578">
        <v>0</v>
      </c>
      <c r="R124" s="578">
        <v>17.059999999999999</v>
      </c>
      <c r="S124" s="578">
        <v>0</v>
      </c>
      <c r="T124" s="578">
        <v>0</v>
      </c>
      <c r="U124" s="578">
        <v>5324.56</v>
      </c>
      <c r="V124" s="578">
        <v>0</v>
      </c>
      <c r="W124" s="578"/>
      <c r="X124" s="578">
        <v>0</v>
      </c>
      <c r="Y124" s="578">
        <v>0</v>
      </c>
      <c r="Z124" s="578">
        <v>0</v>
      </c>
      <c r="AA124" s="578">
        <v>0</v>
      </c>
      <c r="AB124" s="578">
        <v>6034.72</v>
      </c>
      <c r="AC124" s="578">
        <v>10230</v>
      </c>
      <c r="AD124" s="578">
        <v>91126</v>
      </c>
      <c r="AE124" s="578">
        <v>725674.75</v>
      </c>
      <c r="AF124" s="578">
        <v>0</v>
      </c>
      <c r="AG124" s="578">
        <v>308407.13</v>
      </c>
      <c r="AH124" s="578">
        <v>46257.22</v>
      </c>
      <c r="AI124" s="578">
        <v>149040.07999999999</v>
      </c>
      <c r="AJ124" s="578">
        <v>0</v>
      </c>
      <c r="AK124" s="578">
        <v>52582.06</v>
      </c>
      <c r="AL124" s="578">
        <v>730.69</v>
      </c>
      <c r="AM124" s="578">
        <v>12084.55</v>
      </c>
      <c r="AN124" s="578">
        <v>13</v>
      </c>
      <c r="AO124" s="578">
        <v>170.5</v>
      </c>
      <c r="AP124" s="578">
        <v>15097.17</v>
      </c>
      <c r="AQ124" s="578">
        <v>2999.97</v>
      </c>
      <c r="AR124" s="578">
        <v>10446.56</v>
      </c>
      <c r="AS124" s="578">
        <v>4291.7700000000004</v>
      </c>
      <c r="AT124" s="578">
        <v>23138.9</v>
      </c>
      <c r="AU124" s="578">
        <v>17042.23</v>
      </c>
      <c r="AV124" s="578">
        <v>3480.78</v>
      </c>
      <c r="AW124" s="578">
        <v>23973.19</v>
      </c>
      <c r="AX124" s="578">
        <v>19826.240000000002</v>
      </c>
      <c r="AY124" s="578">
        <v>0</v>
      </c>
      <c r="AZ124" s="578">
        <v>42274.81</v>
      </c>
      <c r="BA124" s="578">
        <v>4450</v>
      </c>
      <c r="BB124" s="578">
        <v>0</v>
      </c>
      <c r="BC124" s="578">
        <v>73547.45</v>
      </c>
      <c r="BD124" s="578">
        <v>113001.35</v>
      </c>
      <c r="BE124" s="578">
        <v>4505</v>
      </c>
      <c r="BF124" s="578">
        <v>82041.17</v>
      </c>
      <c r="BG124" s="578">
        <v>0</v>
      </c>
      <c r="BH124" s="578">
        <v>186.28</v>
      </c>
      <c r="BI124" s="578">
        <v>0</v>
      </c>
      <c r="BJ124" s="578">
        <v>0</v>
      </c>
      <c r="BK124" s="578">
        <v>0</v>
      </c>
      <c r="BL124" s="578">
        <v>7172.5</v>
      </c>
      <c r="BM124" s="578">
        <v>0</v>
      </c>
      <c r="BN124" s="578">
        <v>0</v>
      </c>
      <c r="BO124" s="578">
        <v>10000</v>
      </c>
      <c r="BP124" s="578">
        <v>0</v>
      </c>
      <c r="BQ124" s="578">
        <v>0</v>
      </c>
      <c r="BR124" s="578">
        <v>0</v>
      </c>
      <c r="BS124" s="578">
        <v>0</v>
      </c>
      <c r="BT124" s="578">
        <v>0</v>
      </c>
      <c r="BU124" s="578">
        <v>116366.44</v>
      </c>
      <c r="BV124" s="578">
        <v>40729.14</v>
      </c>
      <c r="BW124" s="578">
        <v>0</v>
      </c>
      <c r="BX124" s="578">
        <v>0</v>
      </c>
      <c r="BY124" s="578">
        <v>0</v>
      </c>
      <c r="BZ124" s="578">
        <v>1704290.12</v>
      </c>
      <c r="CA124" s="578">
        <v>1735262.85</v>
      </c>
      <c r="CB124" s="578">
        <v>7172.5</v>
      </c>
      <c r="CC124" s="578">
        <v>0</v>
      </c>
      <c r="CD124" s="578">
        <v>157095.57999999999</v>
      </c>
    </row>
    <row r="125" spans="1:82" hidden="1" x14ac:dyDescent="0.3">
      <c r="A125" s="574" t="s">
        <v>1710</v>
      </c>
      <c r="B125" s="577">
        <v>3302127</v>
      </c>
      <c r="C125" s="574">
        <f>_xlfn.XLOOKUP(B125,'[1]Blade-Export_15-08-2022_sources'!B:B,'[1]Blade-Export_15-08-2022_sources'!F:F,0,FALSE)</f>
        <v>330</v>
      </c>
      <c r="D125" s="574">
        <f>_xlfn.XLOOKUP($B125,'[1]Blade-Export_15-08-2022_sources'!$B:$B,'[1]Blade-Export_15-08-2022_sources'!G:G,0,FALSE)</f>
        <v>2127</v>
      </c>
      <c r="E125" s="574" t="str">
        <f>_xlfn.XLOOKUP($B125,'[1]Blade-Export_15-08-2022_sources'!$B:$B,'[1]Blade-Export_15-08-2022_sources'!H:H,0,FALSE)</f>
        <v>LOZELLS JI NC</v>
      </c>
      <c r="F125" s="578">
        <v>553096.80000000005</v>
      </c>
      <c r="G125" s="578">
        <v>0</v>
      </c>
      <c r="H125" s="578">
        <v>0</v>
      </c>
      <c r="I125" s="578">
        <v>2225663</v>
      </c>
      <c r="J125" s="578">
        <v>0</v>
      </c>
      <c r="K125" s="578">
        <v>74347.7</v>
      </c>
      <c r="L125" s="578">
        <v>0</v>
      </c>
      <c r="M125" s="578">
        <v>290485</v>
      </c>
      <c r="N125" s="578">
        <v>15433.29</v>
      </c>
      <c r="O125" s="578">
        <v>0</v>
      </c>
      <c r="P125" s="578">
        <v>120506.75</v>
      </c>
      <c r="Q125" s="578">
        <v>0</v>
      </c>
      <c r="R125" s="578">
        <v>0</v>
      </c>
      <c r="S125" s="578">
        <v>0</v>
      </c>
      <c r="T125" s="578">
        <v>0</v>
      </c>
      <c r="U125" s="578">
        <v>441.61</v>
      </c>
      <c r="V125" s="578">
        <v>0</v>
      </c>
      <c r="W125" s="578"/>
      <c r="X125" s="578">
        <v>0</v>
      </c>
      <c r="Y125" s="578">
        <v>0</v>
      </c>
      <c r="Z125" s="578">
        <v>0</v>
      </c>
      <c r="AA125" s="578">
        <v>0</v>
      </c>
      <c r="AB125" s="578">
        <v>22379.69</v>
      </c>
      <c r="AC125" s="578">
        <v>14000</v>
      </c>
      <c r="AD125" s="578">
        <v>51762</v>
      </c>
      <c r="AE125" s="578">
        <v>1174303.47</v>
      </c>
      <c r="AF125" s="578">
        <v>0</v>
      </c>
      <c r="AG125" s="578">
        <v>343032.95</v>
      </c>
      <c r="AH125" s="578">
        <v>0</v>
      </c>
      <c r="AI125" s="578">
        <v>215230.57</v>
      </c>
      <c r="AJ125" s="578">
        <v>0</v>
      </c>
      <c r="AK125" s="578">
        <v>100407.88</v>
      </c>
      <c r="AL125" s="578">
        <v>2990.2</v>
      </c>
      <c r="AM125" s="578">
        <v>5457.95</v>
      </c>
      <c r="AN125" s="578">
        <v>0</v>
      </c>
      <c r="AO125" s="578">
        <v>0</v>
      </c>
      <c r="AP125" s="578">
        <v>7366.95</v>
      </c>
      <c r="AQ125" s="578">
        <v>0</v>
      </c>
      <c r="AR125" s="578">
        <v>975</v>
      </c>
      <c r="AS125" s="578">
        <v>28277.4</v>
      </c>
      <c r="AT125" s="578">
        <v>47567.9</v>
      </c>
      <c r="AU125" s="578">
        <v>56601.599999999999</v>
      </c>
      <c r="AV125" s="578">
        <v>1128</v>
      </c>
      <c r="AW125" s="578">
        <v>105449.08</v>
      </c>
      <c r="AX125" s="578">
        <v>74554.429999999993</v>
      </c>
      <c r="AY125" s="578">
        <v>0</v>
      </c>
      <c r="AZ125" s="578">
        <v>98695.38</v>
      </c>
      <c r="BA125" s="578">
        <v>8590.02</v>
      </c>
      <c r="BB125" s="578">
        <v>0</v>
      </c>
      <c r="BC125" s="578">
        <v>160834</v>
      </c>
      <c r="BD125" s="578">
        <v>143291.01999999999</v>
      </c>
      <c r="BE125" s="578">
        <v>8656.25</v>
      </c>
      <c r="BF125" s="578">
        <v>295992.13</v>
      </c>
      <c r="BG125" s="578">
        <v>0</v>
      </c>
      <c r="BH125" s="578">
        <v>277.12</v>
      </c>
      <c r="BI125" s="578">
        <v>0</v>
      </c>
      <c r="BJ125" s="578">
        <v>0</v>
      </c>
      <c r="BK125" s="578">
        <v>0</v>
      </c>
      <c r="BL125" s="578">
        <v>0</v>
      </c>
      <c r="BM125" s="578">
        <v>0</v>
      </c>
      <c r="BN125" s="578">
        <v>0</v>
      </c>
      <c r="BO125" s="578">
        <v>10000</v>
      </c>
      <c r="BP125" s="578">
        <v>0</v>
      </c>
      <c r="BQ125" s="578">
        <v>0</v>
      </c>
      <c r="BR125" s="578">
        <v>0</v>
      </c>
      <c r="BS125" s="578">
        <v>0</v>
      </c>
      <c r="BT125" s="578">
        <v>0</v>
      </c>
      <c r="BU125" s="578">
        <v>488436.53</v>
      </c>
      <c r="BV125" s="578">
        <v>0</v>
      </c>
      <c r="BW125" s="578">
        <v>0</v>
      </c>
      <c r="BX125" s="578">
        <v>0</v>
      </c>
      <c r="BY125" s="578">
        <v>0</v>
      </c>
      <c r="BZ125" s="578">
        <v>2815019.04</v>
      </c>
      <c r="CA125" s="578">
        <v>2879679.3</v>
      </c>
      <c r="CB125" s="578">
        <v>0</v>
      </c>
      <c r="CC125" s="578">
        <v>0</v>
      </c>
      <c r="CD125" s="578">
        <v>488436.53</v>
      </c>
    </row>
    <row r="126" spans="1:82" hidden="1" x14ac:dyDescent="0.3">
      <c r="A126" s="574" t="s">
        <v>1711</v>
      </c>
      <c r="B126" s="577">
        <v>3307012</v>
      </c>
      <c r="C126" s="574">
        <f>_xlfn.XLOOKUP(B126,'[1]Blade-Export_15-08-2022_sources'!B:B,'[1]Blade-Export_15-08-2022_sources'!F:F,0,FALSE)</f>
        <v>330</v>
      </c>
      <c r="D126" s="574">
        <f>_xlfn.XLOOKUP($B126,'[1]Blade-Export_15-08-2022_sources'!$B:$B,'[1]Blade-Export_15-08-2022_sources'!G:G,0,FALSE)</f>
        <v>7012</v>
      </c>
      <c r="E126" s="574" t="str">
        <f>_xlfn.XLOOKUP($B126,'[1]Blade-Export_15-08-2022_sources'!$B:$B,'[1]Blade-Export_15-08-2022_sources'!H:H,0,FALSE)</f>
        <v>LONGWILL Spec</v>
      </c>
      <c r="F126" s="578">
        <v>11167.81</v>
      </c>
      <c r="G126" s="578">
        <v>0</v>
      </c>
      <c r="H126" s="578">
        <v>0</v>
      </c>
      <c r="I126" s="578">
        <v>1175787.18</v>
      </c>
      <c r="J126" s="578">
        <v>0</v>
      </c>
      <c r="K126" s="578">
        <v>0</v>
      </c>
      <c r="L126" s="578">
        <v>0</v>
      </c>
      <c r="M126" s="578">
        <v>45385</v>
      </c>
      <c r="N126" s="578">
        <v>2930.16</v>
      </c>
      <c r="O126" s="578">
        <v>0</v>
      </c>
      <c r="P126" s="578">
        <v>92028.68</v>
      </c>
      <c r="Q126" s="578">
        <v>15.63</v>
      </c>
      <c r="R126" s="578">
        <v>246738.37</v>
      </c>
      <c r="S126" s="578">
        <v>0</v>
      </c>
      <c r="T126" s="578">
        <v>0</v>
      </c>
      <c r="U126" s="578">
        <v>0</v>
      </c>
      <c r="V126" s="578">
        <v>0</v>
      </c>
      <c r="W126" s="578"/>
      <c r="X126" s="578">
        <v>0</v>
      </c>
      <c r="Y126" s="578">
        <v>0</v>
      </c>
      <c r="Z126" s="578">
        <v>0</v>
      </c>
      <c r="AA126" s="578">
        <v>0</v>
      </c>
      <c r="AB126" s="578">
        <v>7715.16</v>
      </c>
      <c r="AC126" s="578">
        <v>6600</v>
      </c>
      <c r="AD126" s="578">
        <v>18954</v>
      </c>
      <c r="AE126" s="578">
        <v>558924.44999999995</v>
      </c>
      <c r="AF126" s="578">
        <v>0</v>
      </c>
      <c r="AG126" s="578">
        <v>443537.35</v>
      </c>
      <c r="AH126" s="578">
        <v>0</v>
      </c>
      <c r="AI126" s="578">
        <v>211306.4</v>
      </c>
      <c r="AJ126" s="578">
        <v>0</v>
      </c>
      <c r="AK126" s="578">
        <v>13661.11</v>
      </c>
      <c r="AL126" s="578">
        <v>1638.28</v>
      </c>
      <c r="AM126" s="578">
        <v>3910.41</v>
      </c>
      <c r="AN126" s="578">
        <v>0</v>
      </c>
      <c r="AO126" s="578">
        <v>0</v>
      </c>
      <c r="AP126" s="578">
        <v>4152.95</v>
      </c>
      <c r="AQ126" s="578">
        <v>2493.66</v>
      </c>
      <c r="AR126" s="578">
        <v>925.44</v>
      </c>
      <c r="AS126" s="578">
        <v>3226.75</v>
      </c>
      <c r="AT126" s="578">
        <v>24502.6</v>
      </c>
      <c r="AU126" s="578">
        <v>0</v>
      </c>
      <c r="AV126" s="578">
        <v>3936.13</v>
      </c>
      <c r="AW126" s="578">
        <v>21038.5</v>
      </c>
      <c r="AX126" s="578">
        <v>2172.23</v>
      </c>
      <c r="AY126" s="578">
        <v>277.2</v>
      </c>
      <c r="AZ126" s="578">
        <v>81574.759999999995</v>
      </c>
      <c r="BA126" s="578">
        <v>3242</v>
      </c>
      <c r="BB126" s="578">
        <v>0</v>
      </c>
      <c r="BC126" s="578">
        <v>15414.25</v>
      </c>
      <c r="BD126" s="578">
        <v>80287.5</v>
      </c>
      <c r="BE126" s="578">
        <v>995</v>
      </c>
      <c r="BF126" s="578">
        <v>117649.35</v>
      </c>
      <c r="BG126" s="578">
        <v>0</v>
      </c>
      <c r="BH126" s="578">
        <v>0</v>
      </c>
      <c r="BI126" s="578">
        <v>0</v>
      </c>
      <c r="BJ126" s="578">
        <v>0</v>
      </c>
      <c r="BK126" s="578">
        <v>0</v>
      </c>
      <c r="BL126" s="578">
        <v>7047.62</v>
      </c>
      <c r="BM126" s="578">
        <v>0</v>
      </c>
      <c r="BN126" s="578">
        <v>0</v>
      </c>
      <c r="BO126" s="578">
        <v>10000</v>
      </c>
      <c r="BP126" s="578">
        <v>0</v>
      </c>
      <c r="BQ126" s="578">
        <v>2061</v>
      </c>
      <c r="BR126" s="578">
        <v>0</v>
      </c>
      <c r="BS126" s="578">
        <v>0</v>
      </c>
      <c r="BT126" s="578">
        <v>0</v>
      </c>
      <c r="BU126" s="578">
        <v>12455.67</v>
      </c>
      <c r="BV126" s="578">
        <v>4986.62</v>
      </c>
      <c r="BW126" s="578">
        <v>0</v>
      </c>
      <c r="BX126" s="578">
        <v>0</v>
      </c>
      <c r="BY126" s="578">
        <v>0</v>
      </c>
      <c r="BZ126" s="578">
        <v>1596154.18</v>
      </c>
      <c r="CA126" s="578">
        <v>1594866.32</v>
      </c>
      <c r="CB126" s="578">
        <v>7047.62</v>
      </c>
      <c r="CC126" s="578">
        <v>2061</v>
      </c>
      <c r="CD126" s="578">
        <v>17442.29</v>
      </c>
    </row>
    <row r="127" spans="1:82" hidden="1" x14ac:dyDescent="0.3">
      <c r="A127" s="574" t="s">
        <v>1712</v>
      </c>
      <c r="B127" s="577">
        <v>3302462</v>
      </c>
      <c r="C127" s="574">
        <f>_xlfn.XLOOKUP(B127,'[1]Blade-Export_15-08-2022_sources'!B:B,'[1]Blade-Export_15-08-2022_sources'!F:F,0,FALSE)</f>
        <v>330</v>
      </c>
      <c r="D127" s="574">
        <f>_xlfn.XLOOKUP($B127,'[1]Blade-Export_15-08-2022_sources'!$B:$B,'[1]Blade-Export_15-08-2022_sources'!G:G,0,FALSE)</f>
        <v>2462</v>
      </c>
      <c r="E127" s="574" t="str">
        <f>_xlfn.XLOOKUP($B127,'[1]Blade-Export_15-08-2022_sources'!$B:$B,'[1]Blade-Export_15-08-2022_sources'!H:H,0,FALSE)</f>
        <v xml:space="preserve">LITTLE SUTTON JI </v>
      </c>
      <c r="F127" s="578">
        <v>722542.73</v>
      </c>
      <c r="G127" s="578">
        <v>0</v>
      </c>
      <c r="H127" s="578">
        <v>722.85</v>
      </c>
      <c r="I127" s="578">
        <v>1793361.04</v>
      </c>
      <c r="J127" s="578">
        <v>0</v>
      </c>
      <c r="K127" s="578">
        <v>13090.94</v>
      </c>
      <c r="L127" s="578">
        <v>0</v>
      </c>
      <c r="M127" s="578">
        <v>29245</v>
      </c>
      <c r="N127" s="578">
        <v>545711.4</v>
      </c>
      <c r="O127" s="578">
        <v>0</v>
      </c>
      <c r="P127" s="578">
        <v>123004.74</v>
      </c>
      <c r="Q127" s="578">
        <v>0</v>
      </c>
      <c r="R127" s="578">
        <v>71068.41</v>
      </c>
      <c r="S127" s="578">
        <v>0</v>
      </c>
      <c r="T127" s="578">
        <v>0</v>
      </c>
      <c r="U127" s="578">
        <v>50615.18</v>
      </c>
      <c r="V127" s="578">
        <v>0</v>
      </c>
      <c r="W127" s="578"/>
      <c r="X127" s="578">
        <v>0</v>
      </c>
      <c r="Y127" s="578">
        <v>0</v>
      </c>
      <c r="Z127" s="578">
        <v>0</v>
      </c>
      <c r="AA127" s="578">
        <v>0</v>
      </c>
      <c r="AB127" s="578">
        <v>3431.25</v>
      </c>
      <c r="AC127" s="578">
        <v>14130</v>
      </c>
      <c r="AD127" s="578">
        <v>99024</v>
      </c>
      <c r="AE127" s="578">
        <v>1118727.8999999999</v>
      </c>
      <c r="AF127" s="578">
        <v>4543.25</v>
      </c>
      <c r="AG127" s="578">
        <v>266447.90000000002</v>
      </c>
      <c r="AH127" s="578">
        <v>14270.87</v>
      </c>
      <c r="AI127" s="578">
        <v>133983.35</v>
      </c>
      <c r="AJ127" s="578">
        <v>0</v>
      </c>
      <c r="AK127" s="578">
        <v>97426.93</v>
      </c>
      <c r="AL127" s="578">
        <v>6446.5</v>
      </c>
      <c r="AM127" s="578">
        <v>4144.83</v>
      </c>
      <c r="AN127" s="578">
        <v>0</v>
      </c>
      <c r="AO127" s="578">
        <v>0</v>
      </c>
      <c r="AP127" s="578">
        <v>49749.81</v>
      </c>
      <c r="AQ127" s="578">
        <v>10245.17</v>
      </c>
      <c r="AR127" s="578">
        <v>43240.99</v>
      </c>
      <c r="AS127" s="578">
        <v>11188.81</v>
      </c>
      <c r="AT127" s="578">
        <v>33428.61</v>
      </c>
      <c r="AU127" s="578">
        <v>30873.599999999999</v>
      </c>
      <c r="AV127" s="578">
        <v>5861.33</v>
      </c>
      <c r="AW127" s="578">
        <v>66440.539999999994</v>
      </c>
      <c r="AX127" s="578">
        <v>33980.879999999997</v>
      </c>
      <c r="AY127" s="578">
        <v>0</v>
      </c>
      <c r="AZ127" s="578">
        <v>293947.55</v>
      </c>
      <c r="BA127" s="578">
        <v>8200</v>
      </c>
      <c r="BB127" s="578">
        <v>0</v>
      </c>
      <c r="BC127" s="578">
        <v>173287.02</v>
      </c>
      <c r="BD127" s="578">
        <v>4697</v>
      </c>
      <c r="BE127" s="578">
        <v>0</v>
      </c>
      <c r="BF127" s="578">
        <v>242896.42</v>
      </c>
      <c r="BG127" s="578">
        <v>0</v>
      </c>
      <c r="BH127" s="578">
        <v>218.51</v>
      </c>
      <c r="BI127" s="578">
        <v>26344.73</v>
      </c>
      <c r="BJ127" s="578">
        <v>0</v>
      </c>
      <c r="BK127" s="578">
        <v>0</v>
      </c>
      <c r="BL127" s="578">
        <v>8747.5</v>
      </c>
      <c r="BM127" s="578">
        <v>0</v>
      </c>
      <c r="BN127" s="578">
        <v>0</v>
      </c>
      <c r="BO127" s="578">
        <v>10000</v>
      </c>
      <c r="BP127" s="578">
        <v>0</v>
      </c>
      <c r="BQ127" s="578">
        <v>0</v>
      </c>
      <c r="BR127" s="578">
        <v>0</v>
      </c>
      <c r="BS127" s="578">
        <v>0</v>
      </c>
      <c r="BT127" s="578">
        <v>0</v>
      </c>
      <c r="BU127" s="578">
        <v>784632.19</v>
      </c>
      <c r="BV127" s="578">
        <v>9470.35</v>
      </c>
      <c r="BW127" s="578">
        <v>0</v>
      </c>
      <c r="BX127" s="578">
        <v>0</v>
      </c>
      <c r="BY127" s="578">
        <v>0</v>
      </c>
      <c r="BZ127" s="578">
        <v>2742681.96</v>
      </c>
      <c r="CA127" s="578">
        <v>2680592.5</v>
      </c>
      <c r="CB127" s="578">
        <v>8747.5</v>
      </c>
      <c r="CC127" s="578">
        <v>0</v>
      </c>
      <c r="CD127" s="578">
        <v>794102.54</v>
      </c>
    </row>
    <row r="128" spans="1:82" hidden="1" x14ac:dyDescent="0.3">
      <c r="A128" s="574" t="s">
        <v>1713</v>
      </c>
      <c r="B128" s="577">
        <v>3307062</v>
      </c>
      <c r="C128" s="574">
        <f>_xlfn.XLOOKUP(B128,'[1]Blade-Export_15-08-2022_sources'!B:B,'[1]Blade-Export_15-08-2022_sources'!F:F,0,FALSE)</f>
        <v>330</v>
      </c>
      <c r="D128" s="574">
        <f>_xlfn.XLOOKUP($B128,'[1]Blade-Export_15-08-2022_sources'!$B:$B,'[1]Blade-Export_15-08-2022_sources'!G:G,0,FALSE)</f>
        <v>7062</v>
      </c>
      <c r="E128" s="574" t="str">
        <f>_xlfn.XLOOKUP($B128,'[1]Blade-Export_15-08-2022_sources'!$B:$B,'[1]Blade-Export_15-08-2022_sources'!H:H,0,FALSE)</f>
        <v>LINDSWORTH Spec</v>
      </c>
      <c r="F128" s="578">
        <v>-279198.68</v>
      </c>
      <c r="G128" s="578">
        <v>0</v>
      </c>
      <c r="H128" s="578">
        <v>12316.71</v>
      </c>
      <c r="I128" s="578">
        <v>3655110.06</v>
      </c>
      <c r="J128" s="578">
        <v>0</v>
      </c>
      <c r="K128" s="578">
        <v>0</v>
      </c>
      <c r="L128" s="578">
        <v>0</v>
      </c>
      <c r="M128" s="578">
        <v>95545</v>
      </c>
      <c r="N128" s="578">
        <v>17233.59</v>
      </c>
      <c r="O128" s="578">
        <v>0</v>
      </c>
      <c r="P128" s="578">
        <v>426147.32</v>
      </c>
      <c r="Q128" s="578">
        <v>0</v>
      </c>
      <c r="R128" s="578">
        <v>124021.5</v>
      </c>
      <c r="S128" s="578">
        <v>0</v>
      </c>
      <c r="T128" s="578">
        <v>0</v>
      </c>
      <c r="U128" s="578">
        <v>4101.3999999999996</v>
      </c>
      <c r="V128" s="578">
        <v>0</v>
      </c>
      <c r="W128" s="578"/>
      <c r="X128" s="578">
        <v>0</v>
      </c>
      <c r="Y128" s="578">
        <v>0</v>
      </c>
      <c r="Z128" s="578">
        <v>0</v>
      </c>
      <c r="AA128" s="578">
        <v>0</v>
      </c>
      <c r="AB128" s="578">
        <v>33080.160000000003</v>
      </c>
      <c r="AC128" s="578">
        <v>11900</v>
      </c>
      <c r="AD128" s="578">
        <v>8417</v>
      </c>
      <c r="AE128" s="578">
        <v>1991669.13</v>
      </c>
      <c r="AF128" s="578">
        <v>39.4</v>
      </c>
      <c r="AG128" s="578">
        <v>221681.65</v>
      </c>
      <c r="AH128" s="578">
        <v>45592.56</v>
      </c>
      <c r="AI128" s="578">
        <v>292317.76</v>
      </c>
      <c r="AJ128" s="578">
        <v>0</v>
      </c>
      <c r="AK128" s="578">
        <v>546680.35</v>
      </c>
      <c r="AL128" s="578">
        <v>4845.1899999999996</v>
      </c>
      <c r="AM128" s="578">
        <v>16130.79</v>
      </c>
      <c r="AN128" s="578">
        <v>0</v>
      </c>
      <c r="AO128" s="578">
        <v>0</v>
      </c>
      <c r="AP128" s="578">
        <v>38746.07</v>
      </c>
      <c r="AQ128" s="578">
        <v>34958.58</v>
      </c>
      <c r="AR128" s="578">
        <v>5676.47</v>
      </c>
      <c r="AS128" s="578">
        <v>7862.89</v>
      </c>
      <c r="AT128" s="578">
        <v>71832.070000000007</v>
      </c>
      <c r="AU128" s="578">
        <v>0</v>
      </c>
      <c r="AV128" s="578">
        <v>11747.23</v>
      </c>
      <c r="AW128" s="578">
        <v>140036.87</v>
      </c>
      <c r="AX128" s="578">
        <v>28847.35</v>
      </c>
      <c r="AY128" s="578">
        <v>4130.24</v>
      </c>
      <c r="AZ128" s="578">
        <v>32448.52</v>
      </c>
      <c r="BA128" s="578">
        <v>2850</v>
      </c>
      <c r="BB128" s="578">
        <v>0</v>
      </c>
      <c r="BC128" s="578">
        <v>29698.21</v>
      </c>
      <c r="BD128" s="578">
        <v>462827.15</v>
      </c>
      <c r="BE128" s="578">
        <v>82207.19</v>
      </c>
      <c r="BF128" s="578">
        <v>152500.12</v>
      </c>
      <c r="BG128" s="578">
        <v>0</v>
      </c>
      <c r="BH128" s="578">
        <v>0</v>
      </c>
      <c r="BI128" s="578">
        <v>0</v>
      </c>
      <c r="BJ128" s="578">
        <v>0</v>
      </c>
      <c r="BK128" s="578">
        <v>0</v>
      </c>
      <c r="BL128" s="578">
        <v>10024.379999999999</v>
      </c>
      <c r="BM128" s="578">
        <v>0</v>
      </c>
      <c r="BN128" s="578">
        <v>0</v>
      </c>
      <c r="BO128" s="578">
        <v>10000</v>
      </c>
      <c r="BP128" s="578">
        <v>0</v>
      </c>
      <c r="BQ128" s="578">
        <v>0</v>
      </c>
      <c r="BR128" s="578">
        <v>0</v>
      </c>
      <c r="BS128" s="578">
        <v>0</v>
      </c>
      <c r="BT128" s="578">
        <v>0</v>
      </c>
      <c r="BU128" s="578">
        <v>-128968.44</v>
      </c>
      <c r="BV128" s="578">
        <v>22341.09</v>
      </c>
      <c r="BW128" s="578">
        <v>0</v>
      </c>
      <c r="BX128" s="578">
        <v>0</v>
      </c>
      <c r="BY128" s="578">
        <v>0</v>
      </c>
      <c r="BZ128" s="578">
        <v>4375556.03</v>
      </c>
      <c r="CA128" s="578">
        <v>4225325.79</v>
      </c>
      <c r="CB128" s="578">
        <v>10024.379999999999</v>
      </c>
      <c r="CC128" s="578">
        <v>0</v>
      </c>
      <c r="CD128" s="578">
        <v>-106627.35</v>
      </c>
    </row>
    <row r="129" spans="1:82" hidden="1" x14ac:dyDescent="0.3">
      <c r="A129" s="574" t="s">
        <v>1714</v>
      </c>
      <c r="B129" s="577">
        <v>3301024</v>
      </c>
      <c r="C129" s="574">
        <f>_xlfn.XLOOKUP(B129,'[1]Blade-Export_15-08-2022_sources'!B:B,'[1]Blade-Export_15-08-2022_sources'!F:F,0,FALSE)</f>
        <v>330</v>
      </c>
      <c r="D129" s="574">
        <f>_xlfn.XLOOKUP($B129,'[1]Blade-Export_15-08-2022_sources'!$B:$B,'[1]Blade-Export_15-08-2022_sources'!G:G,0,FALSE)</f>
        <v>1024</v>
      </c>
      <c r="E129" s="574" t="str">
        <f>_xlfn.XLOOKUP($B129,'[1]Blade-Export_15-08-2022_sources'!$B:$B,'[1]Blade-Export_15-08-2022_sources'!H:H,0,FALSE)</f>
        <v>LILLIAN DE LISSA Nurs</v>
      </c>
      <c r="F129" s="578">
        <v>-106032.72</v>
      </c>
      <c r="G129" s="578">
        <v>0</v>
      </c>
      <c r="H129" s="578">
        <v>15095.87</v>
      </c>
      <c r="I129" s="578">
        <v>499326.53</v>
      </c>
      <c r="J129" s="578">
        <v>0</v>
      </c>
      <c r="K129" s="578">
        <v>11708.92</v>
      </c>
      <c r="L129" s="578">
        <v>0</v>
      </c>
      <c r="M129" s="578">
        <v>0</v>
      </c>
      <c r="N129" s="578">
        <v>0</v>
      </c>
      <c r="O129" s="578">
        <v>0</v>
      </c>
      <c r="P129" s="578">
        <v>31154.41</v>
      </c>
      <c r="Q129" s="578">
        <v>0</v>
      </c>
      <c r="R129" s="578">
        <v>670.5</v>
      </c>
      <c r="S129" s="578">
        <v>0</v>
      </c>
      <c r="T129" s="578">
        <v>0</v>
      </c>
      <c r="U129" s="578">
        <v>8841.19</v>
      </c>
      <c r="V129" s="578">
        <v>0</v>
      </c>
      <c r="W129" s="578"/>
      <c r="X129" s="578">
        <v>0</v>
      </c>
      <c r="Y129" s="578">
        <v>0</v>
      </c>
      <c r="Z129" s="578">
        <v>0</v>
      </c>
      <c r="AA129" s="578">
        <v>0</v>
      </c>
      <c r="AB129" s="578">
        <v>0</v>
      </c>
      <c r="AC129" s="578">
        <v>0</v>
      </c>
      <c r="AD129" s="578">
        <v>0</v>
      </c>
      <c r="AE129" s="578">
        <v>149196.32999999999</v>
      </c>
      <c r="AF129" s="578">
        <v>0</v>
      </c>
      <c r="AG129" s="578">
        <v>95854.9</v>
      </c>
      <c r="AH129" s="578">
        <v>19719.78</v>
      </c>
      <c r="AI129" s="578">
        <v>128780.02</v>
      </c>
      <c r="AJ129" s="578">
        <v>11583.23</v>
      </c>
      <c r="AK129" s="578">
        <v>0</v>
      </c>
      <c r="AL129" s="578">
        <v>639.9</v>
      </c>
      <c r="AM129" s="578">
        <v>1242.75</v>
      </c>
      <c r="AN129" s="578">
        <v>0</v>
      </c>
      <c r="AO129" s="578">
        <v>0</v>
      </c>
      <c r="AP129" s="578">
        <v>10179.719999999999</v>
      </c>
      <c r="AQ129" s="578">
        <v>4067.35</v>
      </c>
      <c r="AR129" s="578">
        <v>2504.5100000000002</v>
      </c>
      <c r="AS129" s="578">
        <v>2576.3000000000002</v>
      </c>
      <c r="AT129" s="578">
        <v>15901.6</v>
      </c>
      <c r="AU129" s="578">
        <v>9980</v>
      </c>
      <c r="AV129" s="578">
        <v>3694.1</v>
      </c>
      <c r="AW129" s="578">
        <v>7944.95</v>
      </c>
      <c r="AX129" s="578">
        <v>2757.09</v>
      </c>
      <c r="AY129" s="578">
        <v>0</v>
      </c>
      <c r="AZ129" s="578">
        <v>241230.77</v>
      </c>
      <c r="BA129" s="578">
        <v>2864.3</v>
      </c>
      <c r="BB129" s="578">
        <v>0</v>
      </c>
      <c r="BC129" s="578">
        <v>15535.48</v>
      </c>
      <c r="BD129" s="578">
        <v>64150.89</v>
      </c>
      <c r="BE129" s="578">
        <v>1158.1300000000001</v>
      </c>
      <c r="BF129" s="578">
        <v>64656.13</v>
      </c>
      <c r="BG129" s="578">
        <v>0</v>
      </c>
      <c r="BH129" s="578">
        <v>0</v>
      </c>
      <c r="BI129" s="578">
        <v>2969</v>
      </c>
      <c r="BJ129" s="578">
        <v>0</v>
      </c>
      <c r="BK129" s="578">
        <v>0</v>
      </c>
      <c r="BL129" s="578">
        <v>4884.25</v>
      </c>
      <c r="BM129" s="578">
        <v>0</v>
      </c>
      <c r="BN129" s="578">
        <v>0</v>
      </c>
      <c r="BO129" s="578">
        <v>10000</v>
      </c>
      <c r="BP129" s="578">
        <v>0</v>
      </c>
      <c r="BQ129" s="578">
        <v>1759</v>
      </c>
      <c r="BR129" s="578">
        <v>0</v>
      </c>
      <c r="BS129" s="578">
        <v>0</v>
      </c>
      <c r="BT129" s="578">
        <v>0</v>
      </c>
      <c r="BU129" s="578">
        <v>-413518.4</v>
      </c>
      <c r="BV129" s="578">
        <v>18221.12</v>
      </c>
      <c r="BW129" s="578">
        <v>0</v>
      </c>
      <c r="BX129" s="578">
        <v>0</v>
      </c>
      <c r="BY129" s="578">
        <v>0</v>
      </c>
      <c r="BZ129" s="578">
        <v>551701.55000000005</v>
      </c>
      <c r="CA129" s="578">
        <v>859187.23</v>
      </c>
      <c r="CB129" s="578">
        <v>4884.25</v>
      </c>
      <c r="CC129" s="578">
        <v>1759</v>
      </c>
      <c r="CD129" s="578">
        <v>-395297.28000000003</v>
      </c>
    </row>
    <row r="130" spans="1:82" hidden="1" x14ac:dyDescent="0.3">
      <c r="A130" s="574" t="s">
        <v>1715</v>
      </c>
      <c r="B130" s="577">
        <v>3307060</v>
      </c>
      <c r="C130" s="574">
        <f>_xlfn.XLOOKUP(B130,'[1]Blade-Export_15-08-2022_sources'!B:B,'[1]Blade-Export_15-08-2022_sources'!F:F,0,FALSE)</f>
        <v>330</v>
      </c>
      <c r="D130" s="574">
        <f>_xlfn.XLOOKUP($B130,'[1]Blade-Export_15-08-2022_sources'!$B:$B,'[1]Blade-Export_15-08-2022_sources'!G:G,0,FALSE)</f>
        <v>7060</v>
      </c>
      <c r="E130" s="574" t="str">
        <f>_xlfn.XLOOKUP($B130,'[1]Blade-Export_15-08-2022_sources'!$B:$B,'[1]Blade-Export_15-08-2022_sources'!H:H,0,FALSE)</f>
        <v>LANGLEY Spec</v>
      </c>
      <c r="F130" s="578">
        <v>270085.45</v>
      </c>
      <c r="G130" s="578">
        <v>0</v>
      </c>
      <c r="H130" s="578">
        <v>61949.47</v>
      </c>
      <c r="I130" s="578">
        <v>2077010.63</v>
      </c>
      <c r="J130" s="578">
        <v>0</v>
      </c>
      <c r="K130" s="578">
        <v>0</v>
      </c>
      <c r="L130" s="578">
        <v>0</v>
      </c>
      <c r="M130" s="578">
        <v>63180</v>
      </c>
      <c r="N130" s="578">
        <v>4009.69</v>
      </c>
      <c r="O130" s="578">
        <v>0</v>
      </c>
      <c r="P130" s="578">
        <v>13497.65</v>
      </c>
      <c r="Q130" s="578">
        <v>378.12</v>
      </c>
      <c r="R130" s="578">
        <v>31532.13</v>
      </c>
      <c r="S130" s="578">
        <v>0</v>
      </c>
      <c r="T130" s="578">
        <v>0</v>
      </c>
      <c r="U130" s="578">
        <v>0</v>
      </c>
      <c r="V130" s="578">
        <v>0</v>
      </c>
      <c r="W130" s="578"/>
      <c r="X130" s="578">
        <v>0</v>
      </c>
      <c r="Y130" s="578">
        <v>0</v>
      </c>
      <c r="Z130" s="578">
        <v>0</v>
      </c>
      <c r="AA130" s="578">
        <v>0</v>
      </c>
      <c r="AB130" s="578">
        <v>10679.69</v>
      </c>
      <c r="AC130" s="578">
        <v>11300</v>
      </c>
      <c r="AD130" s="578">
        <v>21128</v>
      </c>
      <c r="AE130" s="578">
        <v>725024.65</v>
      </c>
      <c r="AF130" s="578">
        <v>0</v>
      </c>
      <c r="AG130" s="578">
        <v>719631.55</v>
      </c>
      <c r="AH130" s="578">
        <v>29890.69</v>
      </c>
      <c r="AI130" s="578">
        <v>150244.65</v>
      </c>
      <c r="AJ130" s="578">
        <v>0</v>
      </c>
      <c r="AK130" s="578">
        <v>83267.89</v>
      </c>
      <c r="AL130" s="578">
        <v>3091.6</v>
      </c>
      <c r="AM130" s="578">
        <v>18846.669999999998</v>
      </c>
      <c r="AN130" s="578">
        <v>0</v>
      </c>
      <c r="AO130" s="578">
        <v>0</v>
      </c>
      <c r="AP130" s="578">
        <v>14005.08</v>
      </c>
      <c r="AQ130" s="578">
        <v>0</v>
      </c>
      <c r="AR130" s="578">
        <v>21258.84</v>
      </c>
      <c r="AS130" s="578">
        <v>0</v>
      </c>
      <c r="AT130" s="578">
        <v>0</v>
      </c>
      <c r="AU130" s="578">
        <v>0</v>
      </c>
      <c r="AV130" s="578">
        <v>48497.599999999999</v>
      </c>
      <c r="AW130" s="578">
        <v>55215.22</v>
      </c>
      <c r="AX130" s="578">
        <v>4990.8599999999997</v>
      </c>
      <c r="AY130" s="578">
        <v>0</v>
      </c>
      <c r="AZ130" s="578">
        <v>6418.54</v>
      </c>
      <c r="BA130" s="578">
        <v>2850</v>
      </c>
      <c r="BB130" s="578">
        <v>0</v>
      </c>
      <c r="BC130" s="578">
        <v>10811.81</v>
      </c>
      <c r="BD130" s="578">
        <v>26306.46</v>
      </c>
      <c r="BE130" s="578">
        <v>0</v>
      </c>
      <c r="BF130" s="578">
        <v>297772.63</v>
      </c>
      <c r="BG130" s="578">
        <v>0</v>
      </c>
      <c r="BH130" s="578">
        <v>0</v>
      </c>
      <c r="BI130" s="578">
        <v>0</v>
      </c>
      <c r="BJ130" s="578">
        <v>0</v>
      </c>
      <c r="BK130" s="578">
        <v>0</v>
      </c>
      <c r="BL130" s="578">
        <v>9720.6200000000008</v>
      </c>
      <c r="BM130" s="578">
        <v>0</v>
      </c>
      <c r="BN130" s="578">
        <v>0</v>
      </c>
      <c r="BO130" s="578">
        <v>10000</v>
      </c>
      <c r="BP130" s="578">
        <v>0</v>
      </c>
      <c r="BQ130" s="578">
        <v>0</v>
      </c>
      <c r="BR130" s="578">
        <v>0</v>
      </c>
      <c r="BS130" s="578">
        <v>0</v>
      </c>
      <c r="BT130" s="578">
        <v>0</v>
      </c>
      <c r="BU130" s="578">
        <v>284676.62</v>
      </c>
      <c r="BV130" s="578">
        <v>71670.09</v>
      </c>
      <c r="BW130" s="578">
        <v>0</v>
      </c>
      <c r="BX130" s="578">
        <v>0</v>
      </c>
      <c r="BY130" s="578">
        <v>0</v>
      </c>
      <c r="BZ130" s="578">
        <v>2232715.91</v>
      </c>
      <c r="CA130" s="578">
        <v>2218124.7400000002</v>
      </c>
      <c r="CB130" s="578">
        <v>9720.6200000000008</v>
      </c>
      <c r="CC130" s="578">
        <v>0</v>
      </c>
      <c r="CD130" s="578">
        <v>356346.71</v>
      </c>
    </row>
    <row r="131" spans="1:82" hidden="1" x14ac:dyDescent="0.3">
      <c r="A131" s="574" t="s">
        <v>1716</v>
      </c>
      <c r="B131" s="577">
        <v>3302119</v>
      </c>
      <c r="C131" s="574">
        <f>_xlfn.XLOOKUP(B131,'[1]Blade-Export_15-08-2022_sources'!B:B,'[1]Blade-Export_15-08-2022_sources'!F:F,0,FALSE)</f>
        <v>330</v>
      </c>
      <c r="D131" s="574">
        <f>_xlfn.XLOOKUP($B131,'[1]Blade-Export_15-08-2022_sources'!$B:$B,'[1]Blade-Export_15-08-2022_sources'!G:G,0,FALSE)</f>
        <v>2119</v>
      </c>
      <c r="E131" s="574" t="str">
        <f>_xlfn.XLOOKUP($B131,'[1]Blade-Export_15-08-2022_sources'!$B:$B,'[1]Blade-Export_15-08-2022_sources'!H:H,0,FALSE)</f>
        <v>LAKEY LANE JI NC</v>
      </c>
      <c r="F131" s="578">
        <v>71215.63</v>
      </c>
      <c r="G131" s="578">
        <v>0</v>
      </c>
      <c r="H131" s="578">
        <v>4368.46</v>
      </c>
      <c r="I131" s="578">
        <v>1999365.89</v>
      </c>
      <c r="J131" s="578">
        <v>0</v>
      </c>
      <c r="K131" s="578">
        <v>60288.17</v>
      </c>
      <c r="L131" s="578">
        <v>0</v>
      </c>
      <c r="M131" s="578">
        <v>208475</v>
      </c>
      <c r="N131" s="578">
        <v>4902.1899999999996</v>
      </c>
      <c r="O131" s="578">
        <v>0</v>
      </c>
      <c r="P131" s="578">
        <v>19494.03</v>
      </c>
      <c r="Q131" s="578">
        <v>0</v>
      </c>
      <c r="R131" s="578">
        <v>13.29</v>
      </c>
      <c r="S131" s="578">
        <v>0</v>
      </c>
      <c r="T131" s="578">
        <v>0</v>
      </c>
      <c r="U131" s="578">
        <v>3491.5</v>
      </c>
      <c r="V131" s="578">
        <v>0</v>
      </c>
      <c r="W131" s="578"/>
      <c r="X131" s="578">
        <v>0</v>
      </c>
      <c r="Y131" s="578">
        <v>0</v>
      </c>
      <c r="Z131" s="578">
        <v>0</v>
      </c>
      <c r="AA131" s="578">
        <v>0</v>
      </c>
      <c r="AB131" s="578">
        <v>16139.69</v>
      </c>
      <c r="AC131" s="578">
        <v>13360</v>
      </c>
      <c r="AD131" s="578">
        <v>57577</v>
      </c>
      <c r="AE131" s="578">
        <v>1232047.19</v>
      </c>
      <c r="AF131" s="578">
        <v>0</v>
      </c>
      <c r="AG131" s="578">
        <v>387945.12</v>
      </c>
      <c r="AH131" s="578">
        <v>57399.95</v>
      </c>
      <c r="AI131" s="578">
        <v>204096.28</v>
      </c>
      <c r="AJ131" s="578">
        <v>407.36</v>
      </c>
      <c r="AK131" s="578">
        <v>146792.69</v>
      </c>
      <c r="AL131" s="578">
        <v>1342</v>
      </c>
      <c r="AM131" s="578">
        <v>4472.08</v>
      </c>
      <c r="AN131" s="578">
        <v>0</v>
      </c>
      <c r="AO131" s="578">
        <v>0</v>
      </c>
      <c r="AP131" s="578">
        <v>36335.230000000003</v>
      </c>
      <c r="AQ131" s="578">
        <v>2610.64</v>
      </c>
      <c r="AR131" s="578">
        <v>3024.17</v>
      </c>
      <c r="AS131" s="578">
        <v>5952.99</v>
      </c>
      <c r="AT131" s="578">
        <v>15302.25</v>
      </c>
      <c r="AU131" s="578">
        <v>21940.41</v>
      </c>
      <c r="AV131" s="578">
        <v>7321.61</v>
      </c>
      <c r="AW131" s="578">
        <v>60904.76</v>
      </c>
      <c r="AX131" s="578">
        <v>7570.09</v>
      </c>
      <c r="AY131" s="578">
        <v>0</v>
      </c>
      <c r="AZ131" s="578">
        <v>42571.89</v>
      </c>
      <c r="BA131" s="578">
        <v>8200</v>
      </c>
      <c r="BB131" s="578">
        <v>0</v>
      </c>
      <c r="BC131" s="578">
        <v>84396.94</v>
      </c>
      <c r="BD131" s="578">
        <v>19222.080000000002</v>
      </c>
      <c r="BE131" s="578">
        <v>1160.58</v>
      </c>
      <c r="BF131" s="578">
        <v>107659.32</v>
      </c>
      <c r="BG131" s="578">
        <v>0</v>
      </c>
      <c r="BH131" s="578">
        <v>0</v>
      </c>
      <c r="BI131" s="578">
        <v>0</v>
      </c>
      <c r="BJ131" s="578">
        <v>0</v>
      </c>
      <c r="BK131" s="578">
        <v>0</v>
      </c>
      <c r="BL131" s="578">
        <v>8899.3799999999992</v>
      </c>
      <c r="BM131" s="578">
        <v>0</v>
      </c>
      <c r="BN131" s="578">
        <v>0</v>
      </c>
      <c r="BO131" s="578">
        <v>10000</v>
      </c>
      <c r="BP131" s="578">
        <v>0</v>
      </c>
      <c r="BQ131" s="578">
        <v>998.94</v>
      </c>
      <c r="BR131" s="578">
        <v>0</v>
      </c>
      <c r="BS131" s="578">
        <v>0</v>
      </c>
      <c r="BT131" s="578">
        <v>0</v>
      </c>
      <c r="BU131" s="578">
        <v>-4353.26</v>
      </c>
      <c r="BV131" s="578">
        <v>12268.9</v>
      </c>
      <c r="BW131" s="578">
        <v>0</v>
      </c>
      <c r="BX131" s="578">
        <v>0</v>
      </c>
      <c r="BY131" s="578">
        <v>0</v>
      </c>
      <c r="BZ131" s="578">
        <v>2383106.7599999998</v>
      </c>
      <c r="CA131" s="578">
        <v>2458675.63</v>
      </c>
      <c r="CB131" s="578">
        <v>8899.3799999999992</v>
      </c>
      <c r="CC131" s="578">
        <v>998.94</v>
      </c>
      <c r="CD131" s="578">
        <v>7915.64</v>
      </c>
    </row>
    <row r="132" spans="1:82" hidden="1" x14ac:dyDescent="0.3">
      <c r="A132" s="574" t="s">
        <v>1717</v>
      </c>
      <c r="B132" s="577">
        <v>3302189</v>
      </c>
      <c r="C132" s="574">
        <f>_xlfn.XLOOKUP(B132,'[1]Blade-Export_15-08-2022_sources'!B:B,'[1]Blade-Export_15-08-2022_sources'!F:F,0,FALSE)</f>
        <v>330</v>
      </c>
      <c r="D132" s="574">
        <f>_xlfn.XLOOKUP($B132,'[1]Blade-Export_15-08-2022_sources'!$B:$B,'[1]Blade-Export_15-08-2022_sources'!G:G,0,FALSE)</f>
        <v>2189</v>
      </c>
      <c r="E132" s="574" t="str">
        <f>_xlfn.XLOOKUP($B132,'[1]Blade-Export_15-08-2022_sources'!$B:$B,'[1]Blade-Export_15-08-2022_sources'!H:H,0,FALSE)</f>
        <v>LADYPOOL JI NC</v>
      </c>
      <c r="F132" s="578">
        <v>315568.77</v>
      </c>
      <c r="G132" s="578">
        <v>0</v>
      </c>
      <c r="H132" s="578">
        <v>4942</v>
      </c>
      <c r="I132" s="578">
        <v>1791079.54</v>
      </c>
      <c r="J132" s="578">
        <v>0</v>
      </c>
      <c r="K132" s="578">
        <v>34133.39</v>
      </c>
      <c r="L132" s="578">
        <v>0</v>
      </c>
      <c r="M132" s="578">
        <v>203095</v>
      </c>
      <c r="N132" s="578">
        <v>5020.3100000000004</v>
      </c>
      <c r="O132" s="578">
        <v>0</v>
      </c>
      <c r="P132" s="578">
        <v>6987.52</v>
      </c>
      <c r="Q132" s="578">
        <v>125.17</v>
      </c>
      <c r="R132" s="578">
        <v>474.1</v>
      </c>
      <c r="S132" s="578">
        <v>0</v>
      </c>
      <c r="T132" s="578">
        <v>0</v>
      </c>
      <c r="U132" s="578">
        <v>2318.87</v>
      </c>
      <c r="V132" s="578">
        <v>0</v>
      </c>
      <c r="W132" s="578"/>
      <c r="X132" s="578">
        <v>0</v>
      </c>
      <c r="Y132" s="578">
        <v>0</v>
      </c>
      <c r="Z132" s="578">
        <v>0</v>
      </c>
      <c r="AA132" s="578">
        <v>0</v>
      </c>
      <c r="AB132" s="578">
        <v>17167.810000000001</v>
      </c>
      <c r="AC132" s="578">
        <v>11100</v>
      </c>
      <c r="AD132" s="578">
        <v>47842</v>
      </c>
      <c r="AE132" s="578">
        <v>1126225.3799999999</v>
      </c>
      <c r="AF132" s="578">
        <v>0</v>
      </c>
      <c r="AG132" s="578">
        <v>190055.28</v>
      </c>
      <c r="AH132" s="578">
        <v>51203.37</v>
      </c>
      <c r="AI132" s="578">
        <v>1815.36</v>
      </c>
      <c r="AJ132" s="578">
        <v>65794.070000000007</v>
      </c>
      <c r="AK132" s="578">
        <v>168681.15</v>
      </c>
      <c r="AL132" s="578">
        <v>3793.1</v>
      </c>
      <c r="AM132" s="578">
        <v>5021</v>
      </c>
      <c r="AN132" s="578">
        <v>0</v>
      </c>
      <c r="AO132" s="578">
        <v>0</v>
      </c>
      <c r="AP132" s="578">
        <v>61731.5</v>
      </c>
      <c r="AQ132" s="578">
        <v>0</v>
      </c>
      <c r="AR132" s="578">
        <v>76738.710000000006</v>
      </c>
      <c r="AS132" s="578">
        <v>8940.69</v>
      </c>
      <c r="AT132" s="578">
        <v>50819.93</v>
      </c>
      <c r="AU132" s="578">
        <v>30616.32</v>
      </c>
      <c r="AV132" s="578">
        <v>5986.65</v>
      </c>
      <c r="AW132" s="578">
        <v>74283.44</v>
      </c>
      <c r="AX132" s="578">
        <v>20337.11</v>
      </c>
      <c r="AY132" s="578">
        <v>0</v>
      </c>
      <c r="AZ132" s="578">
        <v>39976.58</v>
      </c>
      <c r="BA132" s="578">
        <v>8200</v>
      </c>
      <c r="BB132" s="578">
        <v>0</v>
      </c>
      <c r="BC132" s="578">
        <v>43956.47</v>
      </c>
      <c r="BD132" s="578">
        <v>110446.58</v>
      </c>
      <c r="BE132" s="578">
        <v>16402.37</v>
      </c>
      <c r="BF132" s="578">
        <v>184355.28</v>
      </c>
      <c r="BG132" s="578">
        <v>0</v>
      </c>
      <c r="BH132" s="578">
        <v>0</v>
      </c>
      <c r="BI132" s="578">
        <v>0</v>
      </c>
      <c r="BJ132" s="578">
        <v>0</v>
      </c>
      <c r="BK132" s="578">
        <v>0</v>
      </c>
      <c r="BL132" s="578">
        <v>8383</v>
      </c>
      <c r="BM132" s="578">
        <v>0</v>
      </c>
      <c r="BN132" s="578">
        <v>0</v>
      </c>
      <c r="BO132" s="578">
        <v>10000</v>
      </c>
      <c r="BP132" s="578">
        <v>0</v>
      </c>
      <c r="BQ132" s="578">
        <v>0</v>
      </c>
      <c r="BR132" s="578">
        <v>0</v>
      </c>
      <c r="BS132" s="578">
        <v>0</v>
      </c>
      <c r="BT132" s="578">
        <v>0</v>
      </c>
      <c r="BU132" s="578">
        <v>89532.14</v>
      </c>
      <c r="BV132" s="578">
        <v>13325</v>
      </c>
      <c r="BW132" s="578">
        <v>0</v>
      </c>
      <c r="BX132" s="578">
        <v>0</v>
      </c>
      <c r="BY132" s="578">
        <v>0</v>
      </c>
      <c r="BZ132" s="578">
        <v>2119343.71</v>
      </c>
      <c r="CA132" s="578">
        <v>2345380.34</v>
      </c>
      <c r="CB132" s="578">
        <v>8383</v>
      </c>
      <c r="CC132" s="578">
        <v>0</v>
      </c>
      <c r="CD132" s="578">
        <v>102857.14</v>
      </c>
    </row>
    <row r="133" spans="1:82" hidden="1" x14ac:dyDescent="0.3">
      <c r="A133" s="574" t="s">
        <v>1718</v>
      </c>
      <c r="B133" s="577">
        <v>3302321</v>
      </c>
      <c r="C133" s="574">
        <f>_xlfn.XLOOKUP(B133,'[1]Blade-Export_15-08-2022_sources'!B:B,'[1]Blade-Export_15-08-2022_sources'!F:F,0,FALSE)</f>
        <v>330</v>
      </c>
      <c r="D133" s="574">
        <f>_xlfn.XLOOKUP($B133,'[1]Blade-Export_15-08-2022_sources'!$B:$B,'[1]Blade-Export_15-08-2022_sources'!G:G,0,FALSE)</f>
        <v>2321</v>
      </c>
      <c r="E133" s="574" t="str">
        <f>_xlfn.XLOOKUP($B133,'[1]Blade-Export_15-08-2022_sources'!$B:$B,'[1]Blade-Export_15-08-2022_sources'!H:H,0,FALSE)</f>
        <v>KITWELL JI NC</v>
      </c>
      <c r="F133" s="578">
        <v>78585.72</v>
      </c>
      <c r="G133" s="578">
        <v>0</v>
      </c>
      <c r="H133" s="578">
        <v>1729.75</v>
      </c>
      <c r="I133" s="578">
        <v>1067491.1399999999</v>
      </c>
      <c r="J133" s="578">
        <v>0</v>
      </c>
      <c r="K133" s="578">
        <v>63801.25</v>
      </c>
      <c r="L133" s="578">
        <v>0</v>
      </c>
      <c r="M133" s="578">
        <v>152985</v>
      </c>
      <c r="N133" s="578">
        <v>3307.5</v>
      </c>
      <c r="O133" s="578">
        <v>0</v>
      </c>
      <c r="P133" s="578">
        <v>0</v>
      </c>
      <c r="Q133" s="578">
        <v>110.02</v>
      </c>
      <c r="R133" s="578">
        <v>0</v>
      </c>
      <c r="S133" s="578">
        <v>0</v>
      </c>
      <c r="T133" s="578">
        <v>0</v>
      </c>
      <c r="U133" s="578">
        <v>2626</v>
      </c>
      <c r="V133" s="578">
        <v>0</v>
      </c>
      <c r="W133" s="578"/>
      <c r="X133" s="578">
        <v>0</v>
      </c>
      <c r="Y133" s="578">
        <v>0</v>
      </c>
      <c r="Z133" s="578">
        <v>0</v>
      </c>
      <c r="AA133" s="578">
        <v>0</v>
      </c>
      <c r="AB133" s="578">
        <v>12700</v>
      </c>
      <c r="AC133" s="578">
        <v>6900</v>
      </c>
      <c r="AD133" s="578">
        <v>23029</v>
      </c>
      <c r="AE133" s="578">
        <v>535294.04</v>
      </c>
      <c r="AF133" s="578">
        <v>0</v>
      </c>
      <c r="AG133" s="578">
        <v>242978.89</v>
      </c>
      <c r="AH133" s="578">
        <v>0</v>
      </c>
      <c r="AI133" s="578">
        <v>106488.93</v>
      </c>
      <c r="AJ133" s="578">
        <v>0</v>
      </c>
      <c r="AK133" s="578">
        <v>53175.67</v>
      </c>
      <c r="AL133" s="578">
        <v>1170.4000000000001</v>
      </c>
      <c r="AM133" s="578">
        <v>475</v>
      </c>
      <c r="AN133" s="578">
        <v>0</v>
      </c>
      <c r="AO133" s="578">
        <v>0</v>
      </c>
      <c r="AP133" s="578">
        <v>38544</v>
      </c>
      <c r="AQ133" s="578">
        <v>1526.28</v>
      </c>
      <c r="AR133" s="578">
        <v>2237.81</v>
      </c>
      <c r="AS133" s="578">
        <v>2701.46</v>
      </c>
      <c r="AT133" s="578">
        <v>13741.27</v>
      </c>
      <c r="AU133" s="578">
        <v>15295.6</v>
      </c>
      <c r="AV133" s="578">
        <v>5653.97</v>
      </c>
      <c r="AW133" s="578">
        <v>28744.720000000001</v>
      </c>
      <c r="AX133" s="578">
        <v>3416.86</v>
      </c>
      <c r="AY133" s="578">
        <v>0</v>
      </c>
      <c r="AZ133" s="578">
        <v>14707.55</v>
      </c>
      <c r="BA133" s="578">
        <v>4450</v>
      </c>
      <c r="BB133" s="578">
        <v>0</v>
      </c>
      <c r="BC133" s="578">
        <v>17379.8</v>
      </c>
      <c r="BD133" s="578">
        <v>36836.699999999997</v>
      </c>
      <c r="BE133" s="578">
        <v>1125.8699999999999</v>
      </c>
      <c r="BF133" s="578">
        <v>142227.49</v>
      </c>
      <c r="BG133" s="578">
        <v>0</v>
      </c>
      <c r="BH133" s="578">
        <v>0</v>
      </c>
      <c r="BI133" s="578">
        <v>0</v>
      </c>
      <c r="BJ133" s="578">
        <v>0</v>
      </c>
      <c r="BK133" s="578">
        <v>0</v>
      </c>
      <c r="BL133" s="578">
        <v>6502</v>
      </c>
      <c r="BM133" s="578">
        <v>0</v>
      </c>
      <c r="BN133" s="578">
        <v>0</v>
      </c>
      <c r="BO133" s="578">
        <v>10000</v>
      </c>
      <c r="BP133" s="578">
        <v>0</v>
      </c>
      <c r="BQ133" s="578">
        <v>0</v>
      </c>
      <c r="BR133" s="578">
        <v>0</v>
      </c>
      <c r="BS133" s="578">
        <v>0</v>
      </c>
      <c r="BT133" s="578">
        <v>0</v>
      </c>
      <c r="BU133" s="578">
        <v>143363.32</v>
      </c>
      <c r="BV133" s="578">
        <v>8231.75</v>
      </c>
      <c r="BW133" s="578">
        <v>0</v>
      </c>
      <c r="BX133" s="578">
        <v>0</v>
      </c>
      <c r="BY133" s="578">
        <v>0</v>
      </c>
      <c r="BZ133" s="578">
        <v>1332949.9099999999</v>
      </c>
      <c r="CA133" s="578">
        <v>1268172.31</v>
      </c>
      <c r="CB133" s="578">
        <v>6502</v>
      </c>
      <c r="CC133" s="578">
        <v>0</v>
      </c>
      <c r="CD133" s="578">
        <v>151595.07</v>
      </c>
    </row>
    <row r="134" spans="1:82" hidden="1" x14ac:dyDescent="0.3">
      <c r="A134" s="574" t="s">
        <v>1719</v>
      </c>
      <c r="B134" s="577">
        <v>3302441</v>
      </c>
      <c r="C134" s="574">
        <f>_xlfn.XLOOKUP(B134,'[1]Blade-Export_15-08-2022_sources'!B:B,'[1]Blade-Export_15-08-2022_sources'!F:F,0,FALSE)</f>
        <v>330</v>
      </c>
      <c r="D134" s="574">
        <f>_xlfn.XLOOKUP($B134,'[1]Blade-Export_15-08-2022_sources'!$B:$B,'[1]Blade-Export_15-08-2022_sources'!G:G,0,FALSE)</f>
        <v>2441</v>
      </c>
      <c r="E134" s="574" t="str">
        <f>_xlfn.XLOOKUP($B134,'[1]Blade-Export_15-08-2022_sources'!$B:$B,'[1]Blade-Export_15-08-2022_sources'!H:H,0,FALSE)</f>
        <v>KINGSTHORNE JI NC</v>
      </c>
      <c r="F134" s="578">
        <v>483355.45</v>
      </c>
      <c r="G134" s="578">
        <v>0</v>
      </c>
      <c r="H134" s="578">
        <v>19550.419999999998</v>
      </c>
      <c r="I134" s="578">
        <v>1980356.85</v>
      </c>
      <c r="J134" s="578">
        <v>0</v>
      </c>
      <c r="K134" s="578">
        <v>24700.83</v>
      </c>
      <c r="L134" s="578">
        <v>0</v>
      </c>
      <c r="M134" s="578">
        <v>295900</v>
      </c>
      <c r="N134" s="578">
        <v>7500.94</v>
      </c>
      <c r="O134" s="578">
        <v>0</v>
      </c>
      <c r="P134" s="578">
        <v>31773.8</v>
      </c>
      <c r="Q134" s="578">
        <v>676.7</v>
      </c>
      <c r="R134" s="578">
        <v>0</v>
      </c>
      <c r="S134" s="578">
        <v>0</v>
      </c>
      <c r="T134" s="578">
        <v>0</v>
      </c>
      <c r="U134" s="578">
        <v>493</v>
      </c>
      <c r="V134" s="578">
        <v>0</v>
      </c>
      <c r="W134" s="578"/>
      <c r="X134" s="578">
        <v>0</v>
      </c>
      <c r="Y134" s="578">
        <v>0</v>
      </c>
      <c r="Z134" s="578">
        <v>0</v>
      </c>
      <c r="AA134" s="578">
        <v>0</v>
      </c>
      <c r="AB134" s="578">
        <v>23687.19</v>
      </c>
      <c r="AC134" s="578">
        <v>12200</v>
      </c>
      <c r="AD134" s="578">
        <v>47464</v>
      </c>
      <c r="AE134" s="578">
        <v>1061507.8</v>
      </c>
      <c r="AF134" s="578">
        <v>0</v>
      </c>
      <c r="AG134" s="578">
        <v>365120.4</v>
      </c>
      <c r="AH134" s="578">
        <v>53668.97</v>
      </c>
      <c r="AI134" s="578">
        <v>203880.28</v>
      </c>
      <c r="AJ134" s="578">
        <v>0</v>
      </c>
      <c r="AK134" s="578">
        <v>73648.78</v>
      </c>
      <c r="AL134" s="578">
        <v>3749.68</v>
      </c>
      <c r="AM134" s="578">
        <v>5141.8999999999996</v>
      </c>
      <c r="AN134" s="578">
        <v>0</v>
      </c>
      <c r="AO134" s="578">
        <v>0</v>
      </c>
      <c r="AP134" s="578">
        <v>10675.75</v>
      </c>
      <c r="AQ134" s="578">
        <v>13820.56</v>
      </c>
      <c r="AR134" s="578">
        <v>2586.04</v>
      </c>
      <c r="AS134" s="578">
        <v>1880.38</v>
      </c>
      <c r="AT134" s="578">
        <v>24965.56</v>
      </c>
      <c r="AU134" s="578">
        <v>22191.15</v>
      </c>
      <c r="AV134" s="578">
        <v>6226.79</v>
      </c>
      <c r="AW134" s="578">
        <v>121258.3</v>
      </c>
      <c r="AX134" s="578">
        <v>9677.7199999999993</v>
      </c>
      <c r="AY134" s="578">
        <v>0</v>
      </c>
      <c r="AZ134" s="578">
        <v>79132.86</v>
      </c>
      <c r="BA134" s="578">
        <v>8200</v>
      </c>
      <c r="BB134" s="578">
        <v>0</v>
      </c>
      <c r="BC134" s="578">
        <v>97627.12</v>
      </c>
      <c r="BD134" s="578">
        <v>67735.039999999994</v>
      </c>
      <c r="BE134" s="578">
        <v>4044.85</v>
      </c>
      <c r="BF134" s="578">
        <v>45705.919999999998</v>
      </c>
      <c r="BG134" s="578">
        <v>0</v>
      </c>
      <c r="BH134" s="578">
        <v>0</v>
      </c>
      <c r="BI134" s="578">
        <v>14031.65</v>
      </c>
      <c r="BJ134" s="578">
        <v>0</v>
      </c>
      <c r="BK134" s="578">
        <v>0</v>
      </c>
      <c r="BL134" s="578">
        <v>8344.75</v>
      </c>
      <c r="BM134" s="578">
        <v>0</v>
      </c>
      <c r="BN134" s="578">
        <v>0</v>
      </c>
      <c r="BO134" s="578">
        <v>10000</v>
      </c>
      <c r="BP134" s="578">
        <v>0</v>
      </c>
      <c r="BQ134" s="578">
        <v>22521.82</v>
      </c>
      <c r="BR134" s="578">
        <v>0</v>
      </c>
      <c r="BS134" s="578">
        <v>0</v>
      </c>
      <c r="BT134" s="578">
        <v>0</v>
      </c>
      <c r="BU134" s="578">
        <v>611631.24</v>
      </c>
      <c r="BV134" s="578">
        <v>5373.35</v>
      </c>
      <c r="BW134" s="578">
        <v>0</v>
      </c>
      <c r="BX134" s="578">
        <v>0</v>
      </c>
      <c r="BY134" s="578">
        <v>0</v>
      </c>
      <c r="BZ134" s="578">
        <v>2424753.31</v>
      </c>
      <c r="CA134" s="578">
        <v>2296477.5</v>
      </c>
      <c r="CB134" s="578">
        <v>8344.75</v>
      </c>
      <c r="CC134" s="578">
        <v>22521.82</v>
      </c>
      <c r="CD134" s="578">
        <v>617004.59</v>
      </c>
    </row>
    <row r="135" spans="1:82" hidden="1" x14ac:dyDescent="0.3">
      <c r="A135" s="574" t="s">
        <v>1720</v>
      </c>
      <c r="B135" s="577">
        <v>3302115</v>
      </c>
      <c r="C135" s="574">
        <f>_xlfn.XLOOKUP(B135,'[1]Blade-Export_15-08-2022_sources'!B:B,'[1]Blade-Export_15-08-2022_sources'!F:F,0,FALSE)</f>
        <v>330</v>
      </c>
      <c r="D135" s="574">
        <f>_xlfn.XLOOKUP($B135,'[1]Blade-Export_15-08-2022_sources'!$B:$B,'[1]Blade-Export_15-08-2022_sources'!G:G,0,FALSE)</f>
        <v>2115</v>
      </c>
      <c r="E135" s="574" t="str">
        <f>_xlfn.XLOOKUP($B135,'[1]Blade-Export_15-08-2022_sources'!$B:$B,'[1]Blade-Export_15-08-2022_sources'!H:H,0,FALSE)</f>
        <v>KINGSLAND JI NC</v>
      </c>
      <c r="F135" s="578">
        <v>268154.15999999997</v>
      </c>
      <c r="G135" s="578">
        <v>0</v>
      </c>
      <c r="H135" s="578">
        <v>7828.4</v>
      </c>
      <c r="I135" s="578">
        <v>1727837.57</v>
      </c>
      <c r="J135" s="578">
        <v>0</v>
      </c>
      <c r="K135" s="578">
        <v>48923.23</v>
      </c>
      <c r="L135" s="578">
        <v>0</v>
      </c>
      <c r="M135" s="578">
        <v>239650</v>
      </c>
      <c r="N135" s="578">
        <v>5492.81</v>
      </c>
      <c r="O135" s="578">
        <v>0</v>
      </c>
      <c r="P135" s="578">
        <v>189401.3</v>
      </c>
      <c r="Q135" s="578">
        <v>375.42</v>
      </c>
      <c r="R135" s="578">
        <v>90.28</v>
      </c>
      <c r="S135" s="578">
        <v>0</v>
      </c>
      <c r="T135" s="578">
        <v>0</v>
      </c>
      <c r="U135" s="578">
        <v>0</v>
      </c>
      <c r="V135" s="578">
        <v>0</v>
      </c>
      <c r="W135" s="578"/>
      <c r="X135" s="578">
        <v>0</v>
      </c>
      <c r="Y135" s="578">
        <v>0</v>
      </c>
      <c r="Z135" s="578">
        <v>0</v>
      </c>
      <c r="AA135" s="578">
        <v>0</v>
      </c>
      <c r="AB135" s="578">
        <v>31696.11</v>
      </c>
      <c r="AC135" s="578">
        <v>10700</v>
      </c>
      <c r="AD135" s="578">
        <v>48795</v>
      </c>
      <c r="AE135" s="578">
        <v>991370.83</v>
      </c>
      <c r="AF135" s="578">
        <v>0</v>
      </c>
      <c r="AG135" s="578">
        <v>264522.03999999998</v>
      </c>
      <c r="AH135" s="578">
        <v>0</v>
      </c>
      <c r="AI135" s="578">
        <v>184642.73</v>
      </c>
      <c r="AJ135" s="578">
        <v>66824.31</v>
      </c>
      <c r="AK135" s="578">
        <v>87889.75</v>
      </c>
      <c r="AL135" s="578">
        <v>28487.52</v>
      </c>
      <c r="AM135" s="578">
        <v>7536.76</v>
      </c>
      <c r="AN135" s="578">
        <v>0</v>
      </c>
      <c r="AO135" s="578">
        <v>5606.07</v>
      </c>
      <c r="AP135" s="578">
        <v>37200.239999999998</v>
      </c>
      <c r="AQ135" s="578">
        <v>0</v>
      </c>
      <c r="AR135" s="578">
        <v>93.6</v>
      </c>
      <c r="AS135" s="578">
        <v>16984.96</v>
      </c>
      <c r="AT135" s="578">
        <v>33522.239999999998</v>
      </c>
      <c r="AU135" s="578">
        <v>0</v>
      </c>
      <c r="AV135" s="578">
        <v>10449</v>
      </c>
      <c r="AW135" s="578">
        <v>85631.1</v>
      </c>
      <c r="AX135" s="578">
        <v>23051.42</v>
      </c>
      <c r="AY135" s="578">
        <v>0</v>
      </c>
      <c r="AZ135" s="578">
        <v>153844.01</v>
      </c>
      <c r="BA135" s="578">
        <v>8200</v>
      </c>
      <c r="BB135" s="578">
        <v>0</v>
      </c>
      <c r="BC135" s="578">
        <v>54045.2</v>
      </c>
      <c r="BD135" s="578">
        <v>0</v>
      </c>
      <c r="BE135" s="578">
        <v>6120.59</v>
      </c>
      <c r="BF135" s="578">
        <v>44224.09</v>
      </c>
      <c r="BG135" s="578">
        <v>0</v>
      </c>
      <c r="BH135" s="578">
        <v>0</v>
      </c>
      <c r="BI135" s="578">
        <v>0</v>
      </c>
      <c r="BJ135" s="578">
        <v>0</v>
      </c>
      <c r="BK135" s="578">
        <v>0</v>
      </c>
      <c r="BL135" s="578">
        <v>7697.88</v>
      </c>
      <c r="BM135" s="578">
        <v>0</v>
      </c>
      <c r="BN135" s="578">
        <v>0</v>
      </c>
      <c r="BO135" s="578">
        <v>10000</v>
      </c>
      <c r="BP135" s="578">
        <v>0</v>
      </c>
      <c r="BQ135" s="578">
        <v>0</v>
      </c>
      <c r="BR135" s="578">
        <v>0</v>
      </c>
      <c r="BS135" s="578">
        <v>0</v>
      </c>
      <c r="BT135" s="578">
        <v>0</v>
      </c>
      <c r="BU135" s="578">
        <v>460869.43</v>
      </c>
      <c r="BV135" s="578">
        <v>15526.28</v>
      </c>
      <c r="BW135" s="578">
        <v>0</v>
      </c>
      <c r="BX135" s="578">
        <v>0</v>
      </c>
      <c r="BY135" s="578">
        <v>0</v>
      </c>
      <c r="BZ135" s="578">
        <v>2302961.7200000002</v>
      </c>
      <c r="CA135" s="578">
        <v>2110246.46</v>
      </c>
      <c r="CB135" s="578">
        <v>7697.88</v>
      </c>
      <c r="CC135" s="578">
        <v>0</v>
      </c>
      <c r="CD135" s="578">
        <v>476395.71</v>
      </c>
    </row>
    <row r="136" spans="1:82" hidden="1" x14ac:dyDescent="0.3">
      <c r="A136" s="574" t="s">
        <v>1721</v>
      </c>
      <c r="B136" s="577">
        <v>3301016</v>
      </c>
      <c r="C136" s="574">
        <f>_xlfn.XLOOKUP(B136,'[1]Blade-Export_15-08-2022_sources'!B:B,'[1]Blade-Export_15-08-2022_sources'!F:F,0,FALSE)</f>
        <v>330</v>
      </c>
      <c r="D136" s="574">
        <f>_xlfn.XLOOKUP($B136,'[1]Blade-Export_15-08-2022_sources'!$B:$B,'[1]Blade-Export_15-08-2022_sources'!G:G,0,FALSE)</f>
        <v>1016</v>
      </c>
      <c r="E136" s="574" t="str">
        <f>_xlfn.XLOOKUP($B136,'[1]Blade-Export_15-08-2022_sources'!$B:$B,'[1]Blade-Export_15-08-2022_sources'!H:H,0,FALSE)</f>
        <v>KINGS NORTON Nurs</v>
      </c>
      <c r="F136" s="578">
        <v>60250.81</v>
      </c>
      <c r="G136" s="578">
        <v>0</v>
      </c>
      <c r="H136" s="578">
        <v>0</v>
      </c>
      <c r="I136" s="578">
        <v>479399.32</v>
      </c>
      <c r="J136" s="578">
        <v>0</v>
      </c>
      <c r="K136" s="578">
        <v>16620</v>
      </c>
      <c r="L136" s="578">
        <v>0</v>
      </c>
      <c r="M136" s="578">
        <v>0</v>
      </c>
      <c r="N136" s="578">
        <v>0</v>
      </c>
      <c r="O136" s="578">
        <v>0</v>
      </c>
      <c r="P136" s="578">
        <v>17925.88</v>
      </c>
      <c r="Q136" s="578">
        <v>77.150000000000006</v>
      </c>
      <c r="R136" s="578">
        <v>0</v>
      </c>
      <c r="S136" s="578">
        <v>0</v>
      </c>
      <c r="T136" s="578">
        <v>0</v>
      </c>
      <c r="U136" s="578">
        <v>37908.449999999997</v>
      </c>
      <c r="V136" s="578">
        <v>0</v>
      </c>
      <c r="W136" s="578"/>
      <c r="X136" s="578">
        <v>0</v>
      </c>
      <c r="Y136" s="578">
        <v>0</v>
      </c>
      <c r="Z136" s="578">
        <v>0</v>
      </c>
      <c r="AA136" s="578">
        <v>0</v>
      </c>
      <c r="AB136" s="578">
        <v>0</v>
      </c>
      <c r="AC136" s="578">
        <v>0</v>
      </c>
      <c r="AD136" s="578">
        <v>0</v>
      </c>
      <c r="AE136" s="578">
        <v>171359.59</v>
      </c>
      <c r="AF136" s="578">
        <v>906.58</v>
      </c>
      <c r="AG136" s="578">
        <v>210681.48</v>
      </c>
      <c r="AH136" s="578">
        <v>0</v>
      </c>
      <c r="AI136" s="578">
        <v>56248.34</v>
      </c>
      <c r="AJ136" s="578">
        <v>0</v>
      </c>
      <c r="AK136" s="578">
        <v>24937.4</v>
      </c>
      <c r="AL136" s="578">
        <v>2051</v>
      </c>
      <c r="AM136" s="578">
        <v>0</v>
      </c>
      <c r="AN136" s="578">
        <v>0</v>
      </c>
      <c r="AO136" s="578">
        <v>0</v>
      </c>
      <c r="AP136" s="578">
        <v>9595.84</v>
      </c>
      <c r="AQ136" s="578">
        <v>1798.7</v>
      </c>
      <c r="AR136" s="578">
        <v>1525</v>
      </c>
      <c r="AS136" s="578">
        <v>500.47</v>
      </c>
      <c r="AT136" s="578">
        <v>5866.23</v>
      </c>
      <c r="AU136" s="578">
        <v>6362.25</v>
      </c>
      <c r="AV136" s="578">
        <v>878.9</v>
      </c>
      <c r="AW136" s="578">
        <v>9833.49</v>
      </c>
      <c r="AX136" s="578">
        <v>2106.36</v>
      </c>
      <c r="AY136" s="578">
        <v>0</v>
      </c>
      <c r="AZ136" s="578">
        <v>6952.44</v>
      </c>
      <c r="BA136" s="578">
        <v>2850</v>
      </c>
      <c r="BB136" s="578">
        <v>0</v>
      </c>
      <c r="BC136" s="578">
        <v>131.31</v>
      </c>
      <c r="BD136" s="578">
        <v>19378.240000000002</v>
      </c>
      <c r="BE136" s="578">
        <v>995</v>
      </c>
      <c r="BF136" s="578">
        <v>22037.78</v>
      </c>
      <c r="BG136" s="578">
        <v>0</v>
      </c>
      <c r="BH136" s="578">
        <v>0</v>
      </c>
      <c r="BI136" s="578">
        <v>0</v>
      </c>
      <c r="BJ136" s="578">
        <v>0</v>
      </c>
      <c r="BK136" s="578">
        <v>0</v>
      </c>
      <c r="BL136" s="578">
        <v>4856.8</v>
      </c>
      <c r="BM136" s="578">
        <v>0</v>
      </c>
      <c r="BN136" s="578">
        <v>0</v>
      </c>
      <c r="BO136" s="578">
        <v>10000</v>
      </c>
      <c r="BP136" s="578">
        <v>0</v>
      </c>
      <c r="BQ136" s="578">
        <v>2385.2399999999998</v>
      </c>
      <c r="BR136" s="578">
        <v>0</v>
      </c>
      <c r="BS136" s="578">
        <v>0</v>
      </c>
      <c r="BT136" s="578">
        <v>0</v>
      </c>
      <c r="BU136" s="578">
        <v>55185.2</v>
      </c>
      <c r="BV136" s="578">
        <v>2471.56</v>
      </c>
      <c r="BW136" s="578">
        <v>0</v>
      </c>
      <c r="BX136" s="578">
        <v>0</v>
      </c>
      <c r="BY136" s="578">
        <v>0</v>
      </c>
      <c r="BZ136" s="578">
        <v>551930.80000000005</v>
      </c>
      <c r="CA136" s="578">
        <v>556996.4</v>
      </c>
      <c r="CB136" s="578">
        <v>4856.8</v>
      </c>
      <c r="CC136" s="578">
        <v>2385.2399999999998</v>
      </c>
      <c r="CD136" s="578">
        <v>57656.76</v>
      </c>
    </row>
    <row r="137" spans="1:82" hidden="1" x14ac:dyDescent="0.3">
      <c r="A137" s="574" t="s">
        <v>1722</v>
      </c>
      <c r="B137" s="577">
        <v>3302118</v>
      </c>
      <c r="C137" s="574">
        <f>_xlfn.XLOOKUP(B137,'[1]Blade-Export_15-08-2022_sources'!B:B,'[1]Blade-Export_15-08-2022_sources'!F:F,0,FALSE)</f>
        <v>330</v>
      </c>
      <c r="D137" s="574">
        <f>_xlfn.XLOOKUP($B137,'[1]Blade-Export_15-08-2022_sources'!$B:$B,'[1]Blade-Export_15-08-2022_sources'!G:G,0,FALSE)</f>
        <v>2118</v>
      </c>
      <c r="E137" s="574" t="str">
        <f>_xlfn.XLOOKUP($B137,'[1]Blade-Export_15-08-2022_sources'!$B:$B,'[1]Blade-Export_15-08-2022_sources'!H:H,0,FALSE)</f>
        <v xml:space="preserve">KINGS NORTON JI </v>
      </c>
      <c r="F137" s="578">
        <v>132433.31</v>
      </c>
      <c r="G137" s="578">
        <v>0</v>
      </c>
      <c r="H137" s="578">
        <v>7674.54</v>
      </c>
      <c r="I137" s="578">
        <v>1836060.53</v>
      </c>
      <c r="J137" s="578">
        <v>0</v>
      </c>
      <c r="K137" s="578">
        <v>49546.77</v>
      </c>
      <c r="L137" s="578">
        <v>0</v>
      </c>
      <c r="M137" s="578">
        <v>160640</v>
      </c>
      <c r="N137" s="578">
        <v>3543.75</v>
      </c>
      <c r="O137" s="578">
        <v>0</v>
      </c>
      <c r="P137" s="578">
        <v>47756.85</v>
      </c>
      <c r="Q137" s="578">
        <v>175.06</v>
      </c>
      <c r="R137" s="578">
        <v>8455</v>
      </c>
      <c r="S137" s="578">
        <v>0</v>
      </c>
      <c r="T137" s="578">
        <v>0</v>
      </c>
      <c r="U137" s="578">
        <v>26226.65</v>
      </c>
      <c r="V137" s="578">
        <v>0</v>
      </c>
      <c r="W137" s="578"/>
      <c r="X137" s="578">
        <v>0</v>
      </c>
      <c r="Y137" s="578">
        <v>0</v>
      </c>
      <c r="Z137" s="578">
        <v>0</v>
      </c>
      <c r="AA137" s="578">
        <v>0</v>
      </c>
      <c r="AB137" s="578">
        <v>13153.75</v>
      </c>
      <c r="AC137" s="578">
        <v>13760</v>
      </c>
      <c r="AD137" s="578">
        <v>71266</v>
      </c>
      <c r="AE137" s="578">
        <v>974539.37</v>
      </c>
      <c r="AF137" s="578">
        <v>0</v>
      </c>
      <c r="AG137" s="578">
        <v>398304.44</v>
      </c>
      <c r="AH137" s="578">
        <v>0</v>
      </c>
      <c r="AI137" s="578">
        <v>209513.56</v>
      </c>
      <c r="AJ137" s="578">
        <v>0</v>
      </c>
      <c r="AK137" s="578">
        <v>143742.60999999999</v>
      </c>
      <c r="AL137" s="578">
        <v>4800.03</v>
      </c>
      <c r="AM137" s="578">
        <v>190</v>
      </c>
      <c r="AN137" s="578">
        <v>0</v>
      </c>
      <c r="AO137" s="578">
        <v>0</v>
      </c>
      <c r="AP137" s="578">
        <v>22233.73</v>
      </c>
      <c r="AQ137" s="578">
        <v>1126</v>
      </c>
      <c r="AR137" s="578">
        <v>30196.21</v>
      </c>
      <c r="AS137" s="578">
        <v>1477.5</v>
      </c>
      <c r="AT137" s="578">
        <v>37852.410000000003</v>
      </c>
      <c r="AU137" s="578">
        <v>26242.560000000001</v>
      </c>
      <c r="AV137" s="578">
        <v>9668.74</v>
      </c>
      <c r="AW137" s="578">
        <v>94988.95</v>
      </c>
      <c r="AX137" s="578">
        <v>22200.12</v>
      </c>
      <c r="AY137" s="578">
        <v>0</v>
      </c>
      <c r="AZ137" s="578">
        <v>29338.95</v>
      </c>
      <c r="BA137" s="578">
        <v>8200</v>
      </c>
      <c r="BB137" s="578">
        <v>0</v>
      </c>
      <c r="BC137" s="578">
        <v>101754.22</v>
      </c>
      <c r="BD137" s="578">
        <v>40625.360000000001</v>
      </c>
      <c r="BE137" s="578">
        <v>24097.25</v>
      </c>
      <c r="BF137" s="578">
        <v>56708.959999999999</v>
      </c>
      <c r="BG137" s="578">
        <v>0</v>
      </c>
      <c r="BH137" s="578">
        <v>0</v>
      </c>
      <c r="BI137" s="578">
        <v>0</v>
      </c>
      <c r="BJ137" s="578">
        <v>0</v>
      </c>
      <c r="BK137" s="578">
        <v>0</v>
      </c>
      <c r="BL137" s="578">
        <v>8606.8799999999992</v>
      </c>
      <c r="BM137" s="578">
        <v>0</v>
      </c>
      <c r="BN137" s="578">
        <v>0</v>
      </c>
      <c r="BO137" s="578">
        <v>10000</v>
      </c>
      <c r="BP137" s="578">
        <v>0</v>
      </c>
      <c r="BQ137" s="578">
        <v>0</v>
      </c>
      <c r="BR137" s="578">
        <v>0</v>
      </c>
      <c r="BS137" s="578">
        <v>0</v>
      </c>
      <c r="BT137" s="578">
        <v>0</v>
      </c>
      <c r="BU137" s="578">
        <v>125216.7</v>
      </c>
      <c r="BV137" s="578">
        <v>16281.42</v>
      </c>
      <c r="BW137" s="578">
        <v>0</v>
      </c>
      <c r="BX137" s="578">
        <v>0</v>
      </c>
      <c r="BY137" s="578">
        <v>0</v>
      </c>
      <c r="BZ137" s="578">
        <v>2230584.36</v>
      </c>
      <c r="CA137" s="578">
        <v>2237800.9700000002</v>
      </c>
      <c r="CB137" s="578">
        <v>8606.8799999999992</v>
      </c>
      <c r="CC137" s="578">
        <v>0</v>
      </c>
      <c r="CD137" s="578">
        <v>141498.12</v>
      </c>
    </row>
    <row r="138" spans="1:82" hidden="1" x14ac:dyDescent="0.3">
      <c r="A138" s="574" t="s">
        <v>1723</v>
      </c>
      <c r="B138" s="577">
        <v>3305415</v>
      </c>
      <c r="C138" s="574">
        <f>_xlfn.XLOOKUP(B138,'[1]Blade-Export_15-08-2022_sources'!B:B,'[1]Blade-Export_15-08-2022_sources'!F:F,0,FALSE)</f>
        <v>330</v>
      </c>
      <c r="D138" s="574">
        <f>_xlfn.XLOOKUP($B138,'[1]Blade-Export_15-08-2022_sources'!$B:$B,'[1]Blade-Export_15-08-2022_sources'!G:G,0,FALSE)</f>
        <v>5415</v>
      </c>
      <c r="E138" s="574" t="str">
        <f>_xlfn.XLOOKUP($B138,'[1]Blade-Export_15-08-2022_sources'!$B:$B,'[1]Blade-Export_15-08-2022_sources'!H:H,0,FALSE)</f>
        <v xml:space="preserve">KINGS NORTON BOYS Sec (16+) </v>
      </c>
      <c r="F138" s="578">
        <v>173841.06</v>
      </c>
      <c r="G138" s="578">
        <v>0</v>
      </c>
      <c r="H138" s="578">
        <v>17655.04</v>
      </c>
      <c r="I138" s="578">
        <v>4395474</v>
      </c>
      <c r="J138" s="578">
        <v>0</v>
      </c>
      <c r="K138" s="578">
        <v>49742.39</v>
      </c>
      <c r="L138" s="578">
        <v>0</v>
      </c>
      <c r="M138" s="578">
        <v>242233</v>
      </c>
      <c r="N138" s="578">
        <v>7855.31</v>
      </c>
      <c r="O138" s="578">
        <v>0</v>
      </c>
      <c r="P138" s="578">
        <v>66546.929999999993</v>
      </c>
      <c r="Q138" s="578">
        <v>243.38</v>
      </c>
      <c r="R138" s="578">
        <v>440.55</v>
      </c>
      <c r="S138" s="578">
        <v>0</v>
      </c>
      <c r="T138" s="578">
        <v>0</v>
      </c>
      <c r="U138" s="578">
        <v>142347.79999999999</v>
      </c>
      <c r="V138" s="578">
        <v>0</v>
      </c>
      <c r="W138" s="578"/>
      <c r="X138" s="578">
        <v>0</v>
      </c>
      <c r="Y138" s="578">
        <v>0</v>
      </c>
      <c r="Z138" s="578">
        <v>0</v>
      </c>
      <c r="AA138" s="578">
        <v>0</v>
      </c>
      <c r="AB138" s="578">
        <v>60675</v>
      </c>
      <c r="AC138" s="578">
        <v>24050</v>
      </c>
      <c r="AD138" s="578">
        <v>1659</v>
      </c>
      <c r="AE138" s="578">
        <v>2673455.92</v>
      </c>
      <c r="AF138" s="578">
        <v>0</v>
      </c>
      <c r="AG138" s="578">
        <v>137946.01999999999</v>
      </c>
      <c r="AH138" s="578">
        <v>191941.01</v>
      </c>
      <c r="AI138" s="578">
        <v>621423.19999999995</v>
      </c>
      <c r="AJ138" s="578">
        <v>104768.95</v>
      </c>
      <c r="AK138" s="578">
        <v>45903.7</v>
      </c>
      <c r="AL138" s="578">
        <v>31504.720000000001</v>
      </c>
      <c r="AM138" s="578">
        <v>15218.49</v>
      </c>
      <c r="AN138" s="578">
        <v>0</v>
      </c>
      <c r="AO138" s="578">
        <v>0</v>
      </c>
      <c r="AP138" s="578">
        <v>68469.91</v>
      </c>
      <c r="AQ138" s="578">
        <v>722.65</v>
      </c>
      <c r="AR138" s="578">
        <v>1851.61</v>
      </c>
      <c r="AS138" s="578">
        <v>1006.37</v>
      </c>
      <c r="AT138" s="578">
        <v>73226.14</v>
      </c>
      <c r="AU138" s="578">
        <v>79756.800000000003</v>
      </c>
      <c r="AV138" s="578">
        <v>6852.6</v>
      </c>
      <c r="AW138" s="578">
        <v>271947.3</v>
      </c>
      <c r="AX138" s="578">
        <v>15011.66</v>
      </c>
      <c r="AY138" s="578">
        <v>46575.3</v>
      </c>
      <c r="AZ138" s="578">
        <v>47180.03</v>
      </c>
      <c r="BA138" s="578">
        <v>17233.16</v>
      </c>
      <c r="BB138" s="578">
        <v>0</v>
      </c>
      <c r="BC138" s="578">
        <v>63379.13</v>
      </c>
      <c r="BD138" s="578">
        <v>112890.49</v>
      </c>
      <c r="BE138" s="578">
        <v>995</v>
      </c>
      <c r="BF138" s="578">
        <v>89604.37</v>
      </c>
      <c r="BG138" s="578">
        <v>0</v>
      </c>
      <c r="BH138" s="578">
        <v>0</v>
      </c>
      <c r="BI138" s="578">
        <v>0</v>
      </c>
      <c r="BJ138" s="578">
        <v>0</v>
      </c>
      <c r="BK138" s="578">
        <v>0</v>
      </c>
      <c r="BL138" s="578">
        <v>15044.69</v>
      </c>
      <c r="BM138" s="578">
        <v>0</v>
      </c>
      <c r="BN138" s="578">
        <v>0</v>
      </c>
      <c r="BO138" s="578">
        <v>10000</v>
      </c>
      <c r="BP138" s="578">
        <v>0</v>
      </c>
      <c r="BQ138" s="578">
        <v>14782.13</v>
      </c>
      <c r="BR138" s="578">
        <v>0</v>
      </c>
      <c r="BS138" s="578">
        <v>0</v>
      </c>
      <c r="BT138" s="578">
        <v>0</v>
      </c>
      <c r="BU138" s="578">
        <v>446243.89</v>
      </c>
      <c r="BV138" s="578">
        <v>17917.599999999999</v>
      </c>
      <c r="BW138" s="578">
        <v>0</v>
      </c>
      <c r="BX138" s="578">
        <v>0</v>
      </c>
      <c r="BY138" s="578">
        <v>0</v>
      </c>
      <c r="BZ138" s="578">
        <v>4991267.3600000003</v>
      </c>
      <c r="CA138" s="578">
        <v>4718864.53</v>
      </c>
      <c r="CB138" s="578">
        <v>15044.69</v>
      </c>
      <c r="CC138" s="578">
        <v>14782.13</v>
      </c>
      <c r="CD138" s="578">
        <v>464161.49</v>
      </c>
    </row>
    <row r="139" spans="1:82" hidden="1" x14ac:dyDescent="0.3">
      <c r="A139" s="574" t="s">
        <v>1724</v>
      </c>
      <c r="B139" s="577">
        <v>3302005</v>
      </c>
      <c r="C139" s="574">
        <f>_xlfn.XLOOKUP(B139,'[1]Blade-Export_15-08-2022_sources'!B:B,'[1]Blade-Export_15-08-2022_sources'!F:F,0,FALSE)</f>
        <v>330</v>
      </c>
      <c r="D139" s="574">
        <f>_xlfn.XLOOKUP($B139,'[1]Blade-Export_15-08-2022_sources'!$B:$B,'[1]Blade-Export_15-08-2022_sources'!G:G,0,FALSE)</f>
        <v>2005</v>
      </c>
      <c r="E139" s="574" t="str">
        <f>_xlfn.XLOOKUP($B139,'[1]Blade-Export_15-08-2022_sources'!$B:$B,'[1]Blade-Export_15-08-2022_sources'!H:H,0,FALSE)</f>
        <v>KINGS HEATH JI NC</v>
      </c>
      <c r="F139" s="578">
        <v>-4253.78</v>
      </c>
      <c r="G139" s="578">
        <v>0</v>
      </c>
      <c r="H139" s="578">
        <v>12430.56</v>
      </c>
      <c r="I139" s="578">
        <v>2886116.76</v>
      </c>
      <c r="J139" s="578">
        <v>0</v>
      </c>
      <c r="K139" s="578">
        <v>131905.54999999999</v>
      </c>
      <c r="L139" s="578">
        <v>0</v>
      </c>
      <c r="M139" s="578">
        <v>180780</v>
      </c>
      <c r="N139" s="578">
        <v>4170.47</v>
      </c>
      <c r="O139" s="578">
        <v>0</v>
      </c>
      <c r="P139" s="578">
        <v>89486.24</v>
      </c>
      <c r="Q139" s="578">
        <v>0</v>
      </c>
      <c r="R139" s="578">
        <v>58</v>
      </c>
      <c r="S139" s="578">
        <v>0</v>
      </c>
      <c r="T139" s="578">
        <v>0</v>
      </c>
      <c r="U139" s="578">
        <v>1107.5999999999999</v>
      </c>
      <c r="V139" s="578">
        <v>0</v>
      </c>
      <c r="W139" s="578"/>
      <c r="X139" s="578">
        <v>0</v>
      </c>
      <c r="Y139" s="578">
        <v>0</v>
      </c>
      <c r="Z139" s="578">
        <v>0</v>
      </c>
      <c r="AA139" s="578">
        <v>0</v>
      </c>
      <c r="AB139" s="578">
        <v>13245.47</v>
      </c>
      <c r="AC139" s="578">
        <v>21830</v>
      </c>
      <c r="AD139" s="578">
        <v>109671</v>
      </c>
      <c r="AE139" s="578">
        <v>1678349.71</v>
      </c>
      <c r="AF139" s="578">
        <v>0</v>
      </c>
      <c r="AG139" s="578">
        <v>598874.93999999994</v>
      </c>
      <c r="AH139" s="578">
        <v>55137.32</v>
      </c>
      <c r="AI139" s="578">
        <v>341899.05</v>
      </c>
      <c r="AJ139" s="578">
        <v>0</v>
      </c>
      <c r="AK139" s="578">
        <v>31561.17</v>
      </c>
      <c r="AL139" s="578">
        <v>3700.74</v>
      </c>
      <c r="AM139" s="578">
        <v>3711.78</v>
      </c>
      <c r="AN139" s="578">
        <v>0</v>
      </c>
      <c r="AO139" s="578">
        <v>0</v>
      </c>
      <c r="AP139" s="578">
        <v>53281.57</v>
      </c>
      <c r="AQ139" s="578">
        <v>3760.45</v>
      </c>
      <c r="AR139" s="578">
        <v>94642.86</v>
      </c>
      <c r="AS139" s="578">
        <v>10424.33</v>
      </c>
      <c r="AT139" s="578">
        <v>49573.02</v>
      </c>
      <c r="AU139" s="578">
        <v>54531.65</v>
      </c>
      <c r="AV139" s="578">
        <v>22339.9</v>
      </c>
      <c r="AW139" s="578">
        <v>109659.99</v>
      </c>
      <c r="AX139" s="578">
        <v>19843.25</v>
      </c>
      <c r="AY139" s="578">
        <v>0</v>
      </c>
      <c r="AZ139" s="578">
        <v>21278.95</v>
      </c>
      <c r="BA139" s="578">
        <v>16230</v>
      </c>
      <c r="BB139" s="578">
        <v>0</v>
      </c>
      <c r="BC139" s="578">
        <v>151944.54</v>
      </c>
      <c r="BD139" s="578">
        <v>132034.6</v>
      </c>
      <c r="BE139" s="578">
        <v>995</v>
      </c>
      <c r="BF139" s="578">
        <v>160950.10999999999</v>
      </c>
      <c r="BG139" s="578">
        <v>0</v>
      </c>
      <c r="BH139" s="578">
        <v>0</v>
      </c>
      <c r="BI139" s="578">
        <v>37549.879999999997</v>
      </c>
      <c r="BJ139" s="578">
        <v>0</v>
      </c>
      <c r="BK139" s="578">
        <v>0</v>
      </c>
      <c r="BL139" s="578">
        <v>11854.75</v>
      </c>
      <c r="BM139" s="578">
        <v>0</v>
      </c>
      <c r="BN139" s="578">
        <v>0</v>
      </c>
      <c r="BO139" s="578">
        <v>10000</v>
      </c>
      <c r="BP139" s="578">
        <v>0</v>
      </c>
      <c r="BQ139" s="578">
        <v>8519.31</v>
      </c>
      <c r="BR139" s="578">
        <v>110.16</v>
      </c>
      <c r="BS139" s="578">
        <v>0</v>
      </c>
      <c r="BT139" s="578">
        <v>0</v>
      </c>
      <c r="BU139" s="578">
        <v>-218157.5</v>
      </c>
      <c r="BV139" s="578">
        <v>15655.84</v>
      </c>
      <c r="BW139" s="578">
        <v>0</v>
      </c>
      <c r="BX139" s="578">
        <v>0</v>
      </c>
      <c r="BY139" s="578">
        <v>0</v>
      </c>
      <c r="BZ139" s="578">
        <v>3438371.09</v>
      </c>
      <c r="CA139" s="578">
        <v>3652274.81</v>
      </c>
      <c r="CB139" s="578">
        <v>11854.75</v>
      </c>
      <c r="CC139" s="578">
        <v>8629.4699999999993</v>
      </c>
      <c r="CD139" s="578">
        <v>-202501.66</v>
      </c>
    </row>
    <row r="140" spans="1:82" hidden="1" x14ac:dyDescent="0.3">
      <c r="A140" s="574" t="s">
        <v>1725</v>
      </c>
      <c r="B140" s="577">
        <v>3304063</v>
      </c>
      <c r="C140" s="574">
        <f>_xlfn.XLOOKUP(B140,'[1]Blade-Export_15-08-2022_sources'!B:B,'[1]Blade-Export_15-08-2022_sources'!F:F,0,FALSE)</f>
        <v>330</v>
      </c>
      <c r="D140" s="574">
        <f>_xlfn.XLOOKUP($B140,'[1]Blade-Export_15-08-2022_sources'!$B:$B,'[1]Blade-Export_15-08-2022_sources'!G:G,0,FALSE)</f>
        <v>4063</v>
      </c>
      <c r="E140" s="574" t="str">
        <f>_xlfn.XLOOKUP($B140,'[1]Blade-Export_15-08-2022_sources'!$B:$B,'[1]Blade-Export_15-08-2022_sources'!H:H,0,FALSE)</f>
        <v xml:space="preserve">KINGS HEATH Sec </v>
      </c>
      <c r="F140" s="578">
        <v>659533.55000000005</v>
      </c>
      <c r="G140" s="578">
        <v>0</v>
      </c>
      <c r="H140" s="578">
        <v>3525.73</v>
      </c>
      <c r="I140" s="578">
        <v>4873481.55</v>
      </c>
      <c r="J140" s="578">
        <v>0</v>
      </c>
      <c r="K140" s="578">
        <v>26241.75</v>
      </c>
      <c r="L140" s="578">
        <v>0</v>
      </c>
      <c r="M140" s="578">
        <v>380577</v>
      </c>
      <c r="N140" s="578">
        <v>12285</v>
      </c>
      <c r="O140" s="578">
        <v>1000</v>
      </c>
      <c r="P140" s="578">
        <v>354756.11</v>
      </c>
      <c r="Q140" s="578">
        <v>923.35</v>
      </c>
      <c r="R140" s="578">
        <v>10.26</v>
      </c>
      <c r="S140" s="578">
        <v>0</v>
      </c>
      <c r="T140" s="578">
        <v>0</v>
      </c>
      <c r="U140" s="578">
        <v>0</v>
      </c>
      <c r="V140" s="578">
        <v>0</v>
      </c>
      <c r="W140" s="578"/>
      <c r="X140" s="578">
        <v>0</v>
      </c>
      <c r="Y140" s="578">
        <v>0</v>
      </c>
      <c r="Z140" s="578">
        <v>0</v>
      </c>
      <c r="AA140" s="578">
        <v>0</v>
      </c>
      <c r="AB140" s="578">
        <v>61503.13</v>
      </c>
      <c r="AC140" s="578">
        <v>21900</v>
      </c>
      <c r="AD140" s="578">
        <v>2912</v>
      </c>
      <c r="AE140" s="578">
        <v>2985108.21</v>
      </c>
      <c r="AF140" s="578">
        <v>0</v>
      </c>
      <c r="AG140" s="578">
        <v>232250.99</v>
      </c>
      <c r="AH140" s="578">
        <v>111838.44</v>
      </c>
      <c r="AI140" s="578">
        <v>818211.47</v>
      </c>
      <c r="AJ140" s="578">
        <v>103481.82</v>
      </c>
      <c r="AK140" s="578">
        <v>102123.52</v>
      </c>
      <c r="AL140" s="578">
        <v>6151.88</v>
      </c>
      <c r="AM140" s="578">
        <v>13845.53</v>
      </c>
      <c r="AN140" s="578">
        <v>0</v>
      </c>
      <c r="AO140" s="578">
        <v>0</v>
      </c>
      <c r="AP140" s="578">
        <v>127528.35</v>
      </c>
      <c r="AQ140" s="578">
        <v>13481.51</v>
      </c>
      <c r="AR140" s="578">
        <v>4536.33</v>
      </c>
      <c r="AS140" s="578">
        <v>8101.53</v>
      </c>
      <c r="AT140" s="578">
        <v>110981.69</v>
      </c>
      <c r="AU140" s="578">
        <v>71096.740000000005</v>
      </c>
      <c r="AV140" s="578">
        <v>7770.38</v>
      </c>
      <c r="AW140" s="578">
        <v>266529.34000000003</v>
      </c>
      <c r="AX140" s="578">
        <v>90255.17</v>
      </c>
      <c r="AY140" s="578">
        <v>34979.879999999997</v>
      </c>
      <c r="AZ140" s="578">
        <v>45189.7</v>
      </c>
      <c r="BA140" s="578">
        <v>19853.27</v>
      </c>
      <c r="BB140" s="578">
        <v>0</v>
      </c>
      <c r="BC140" s="578">
        <v>98420.65</v>
      </c>
      <c r="BD140" s="578">
        <v>27795</v>
      </c>
      <c r="BE140" s="578">
        <v>995</v>
      </c>
      <c r="BF140" s="578">
        <v>243643</v>
      </c>
      <c r="BG140" s="578">
        <v>0</v>
      </c>
      <c r="BH140" s="578">
        <v>0</v>
      </c>
      <c r="BI140" s="578">
        <v>82297.460000000006</v>
      </c>
      <c r="BJ140" s="578">
        <v>0</v>
      </c>
      <c r="BK140" s="578">
        <v>0</v>
      </c>
      <c r="BL140" s="578">
        <v>14631.25</v>
      </c>
      <c r="BM140" s="578">
        <v>0</v>
      </c>
      <c r="BN140" s="578">
        <v>0</v>
      </c>
      <c r="BO140" s="578">
        <v>10000</v>
      </c>
      <c r="BP140" s="578">
        <v>0</v>
      </c>
      <c r="BQ140" s="578">
        <v>15654</v>
      </c>
      <c r="BR140" s="578">
        <v>0</v>
      </c>
      <c r="BS140" s="578">
        <v>0</v>
      </c>
      <c r="BT140" s="578">
        <v>0</v>
      </c>
      <c r="BU140" s="578">
        <v>768656.83</v>
      </c>
      <c r="BV140" s="578">
        <v>2502.98</v>
      </c>
      <c r="BW140" s="578">
        <v>0</v>
      </c>
      <c r="BX140" s="578">
        <v>0</v>
      </c>
      <c r="BY140" s="578">
        <v>0</v>
      </c>
      <c r="BZ140" s="578">
        <v>5735590.1500000004</v>
      </c>
      <c r="CA140" s="578">
        <v>5626466.8600000003</v>
      </c>
      <c r="CB140" s="578">
        <v>14631.25</v>
      </c>
      <c r="CC140" s="578">
        <v>15654</v>
      </c>
      <c r="CD140" s="578">
        <v>771159.81</v>
      </c>
    </row>
    <row r="141" spans="1:82" hidden="1" x14ac:dyDescent="0.3">
      <c r="A141" s="574" t="s">
        <v>1726</v>
      </c>
      <c r="B141" s="577">
        <v>3303352</v>
      </c>
      <c r="C141" s="574">
        <f>_xlfn.XLOOKUP(B141,'[1]Blade-Export_15-08-2022_sources'!B:B,'[1]Blade-Export_15-08-2022_sources'!F:F,0,FALSE)</f>
        <v>330</v>
      </c>
      <c r="D141" s="574">
        <f>_xlfn.XLOOKUP($B141,'[1]Blade-Export_15-08-2022_sources'!$B:$B,'[1]Blade-Export_15-08-2022_sources'!G:G,0,FALSE)</f>
        <v>3352</v>
      </c>
      <c r="E141" s="574" t="str">
        <f>_xlfn.XLOOKUP($B141,'[1]Blade-Export_15-08-2022_sources'!$B:$B,'[1]Blade-Export_15-08-2022_sources'!H:H,0,FALSE)</f>
        <v>KING DAVID JI NC</v>
      </c>
      <c r="F141" s="578">
        <v>-904.1</v>
      </c>
      <c r="G141" s="578">
        <v>0</v>
      </c>
      <c r="H141" s="578">
        <v>0</v>
      </c>
      <c r="I141" s="578">
        <v>1074519.23</v>
      </c>
      <c r="J141" s="578">
        <v>0</v>
      </c>
      <c r="K141" s="578">
        <v>13012.8</v>
      </c>
      <c r="L141" s="578">
        <v>0</v>
      </c>
      <c r="M141" s="578">
        <v>86080</v>
      </c>
      <c r="N141" s="578">
        <v>2067.19</v>
      </c>
      <c r="O141" s="578">
        <v>0</v>
      </c>
      <c r="P141" s="578">
        <v>79886.8</v>
      </c>
      <c r="Q141" s="578">
        <v>0</v>
      </c>
      <c r="R141" s="578">
        <v>0</v>
      </c>
      <c r="S141" s="578">
        <v>0</v>
      </c>
      <c r="T141" s="578">
        <v>0</v>
      </c>
      <c r="U141" s="578">
        <v>11057.2</v>
      </c>
      <c r="V141" s="578">
        <v>0</v>
      </c>
      <c r="W141" s="578"/>
      <c r="X141" s="578">
        <v>0</v>
      </c>
      <c r="Y141" s="578">
        <v>0</v>
      </c>
      <c r="Z141" s="578">
        <v>0</v>
      </c>
      <c r="AA141" s="578">
        <v>0</v>
      </c>
      <c r="AB141" s="578">
        <v>6589.06</v>
      </c>
      <c r="AC141" s="578">
        <v>7030</v>
      </c>
      <c r="AD141" s="578">
        <v>42184</v>
      </c>
      <c r="AE141" s="578">
        <v>636548.32999999996</v>
      </c>
      <c r="AF141" s="578">
        <v>8389.1299999999992</v>
      </c>
      <c r="AG141" s="578">
        <v>237039.03</v>
      </c>
      <c r="AH141" s="578">
        <v>6610.47</v>
      </c>
      <c r="AI141" s="578">
        <v>90742.68</v>
      </c>
      <c r="AJ141" s="578">
        <v>7789.73</v>
      </c>
      <c r="AK141" s="578">
        <v>55760.07</v>
      </c>
      <c r="AL141" s="578">
        <v>1950</v>
      </c>
      <c r="AM141" s="578">
        <v>2368.4</v>
      </c>
      <c r="AN141" s="578">
        <v>0</v>
      </c>
      <c r="AO141" s="578">
        <v>0</v>
      </c>
      <c r="AP141" s="578">
        <v>11063.18</v>
      </c>
      <c r="AQ141" s="578">
        <v>1639.3</v>
      </c>
      <c r="AR141" s="578">
        <v>2205.83</v>
      </c>
      <c r="AS141" s="578">
        <v>1529.43</v>
      </c>
      <c r="AT141" s="578">
        <v>17626.990000000002</v>
      </c>
      <c r="AU141" s="578">
        <v>20981.49</v>
      </c>
      <c r="AV141" s="578">
        <v>4759.45</v>
      </c>
      <c r="AW141" s="578">
        <v>28947.88</v>
      </c>
      <c r="AX141" s="578">
        <v>1219.96</v>
      </c>
      <c r="AY141" s="578">
        <v>0</v>
      </c>
      <c r="AZ141" s="578">
        <v>14622.49</v>
      </c>
      <c r="BA141" s="578">
        <v>4450</v>
      </c>
      <c r="BB141" s="578">
        <v>0</v>
      </c>
      <c r="BC141" s="578">
        <v>0</v>
      </c>
      <c r="BD141" s="578">
        <v>32627.23</v>
      </c>
      <c r="BE141" s="578">
        <v>292.08999999999997</v>
      </c>
      <c r="BF141" s="578">
        <v>117654.64</v>
      </c>
      <c r="BG141" s="578">
        <v>0</v>
      </c>
      <c r="BH141" s="578">
        <v>0</v>
      </c>
      <c r="BI141" s="578">
        <v>0</v>
      </c>
      <c r="BJ141" s="578">
        <v>0</v>
      </c>
      <c r="BK141" s="578">
        <v>0</v>
      </c>
      <c r="BL141" s="578">
        <v>0</v>
      </c>
      <c r="BM141" s="578">
        <v>0</v>
      </c>
      <c r="BN141" s="578">
        <v>0</v>
      </c>
      <c r="BO141" s="578">
        <v>10000</v>
      </c>
      <c r="BP141" s="578">
        <v>0</v>
      </c>
      <c r="BQ141" s="578">
        <v>0</v>
      </c>
      <c r="BR141" s="578">
        <v>0</v>
      </c>
      <c r="BS141" s="578">
        <v>0</v>
      </c>
      <c r="BT141" s="578">
        <v>0</v>
      </c>
      <c r="BU141" s="578">
        <v>14704.38</v>
      </c>
      <c r="BV141" s="578">
        <v>0</v>
      </c>
      <c r="BW141" s="578">
        <v>0</v>
      </c>
      <c r="BX141" s="578">
        <v>0</v>
      </c>
      <c r="BY141" s="578">
        <v>0</v>
      </c>
      <c r="BZ141" s="578">
        <v>1322426.28</v>
      </c>
      <c r="CA141" s="578">
        <v>1306817.8</v>
      </c>
      <c r="CB141" s="578">
        <v>0</v>
      </c>
      <c r="CC141" s="578">
        <v>0</v>
      </c>
      <c r="CD141" s="578">
        <v>14704.38</v>
      </c>
    </row>
    <row r="142" spans="1:82" hidden="1" x14ac:dyDescent="0.3">
      <c r="A142" s="574" t="s">
        <v>1727</v>
      </c>
      <c r="B142" s="577">
        <v>3302015</v>
      </c>
      <c r="C142" s="574">
        <f>_xlfn.XLOOKUP(B142,'[1]Blade-Export_15-08-2022_sources'!B:B,'[1]Blade-Export_15-08-2022_sources'!F:F,0,FALSE)</f>
        <v>330</v>
      </c>
      <c r="D142" s="574">
        <f>_xlfn.XLOOKUP($B142,'[1]Blade-Export_15-08-2022_sources'!$B:$B,'[1]Blade-Export_15-08-2022_sources'!G:G,0,FALSE)</f>
        <v>2015</v>
      </c>
      <c r="E142" s="574" t="str">
        <f>_xlfn.XLOOKUP($B142,'[1]Blade-Export_15-08-2022_sources'!$B:$B,'[1]Blade-Export_15-08-2022_sources'!H:H,0,FALSE)</f>
        <v>JAMES WATT JI NC</v>
      </c>
      <c r="F142" s="578">
        <v>758020.48</v>
      </c>
      <c r="G142" s="578">
        <v>0</v>
      </c>
      <c r="H142" s="578">
        <v>8631.41</v>
      </c>
      <c r="I142" s="578">
        <v>2247371.9900000002</v>
      </c>
      <c r="J142" s="578">
        <v>0</v>
      </c>
      <c r="K142" s="578">
        <v>41276.76</v>
      </c>
      <c r="L142" s="578">
        <v>0</v>
      </c>
      <c r="M142" s="578">
        <v>218890</v>
      </c>
      <c r="N142" s="578">
        <v>5079.38</v>
      </c>
      <c r="O142" s="578">
        <v>0</v>
      </c>
      <c r="P142" s="578">
        <v>15848.56</v>
      </c>
      <c r="Q142" s="578">
        <v>0</v>
      </c>
      <c r="R142" s="578">
        <v>29687.64</v>
      </c>
      <c r="S142" s="578">
        <v>0</v>
      </c>
      <c r="T142" s="578">
        <v>0</v>
      </c>
      <c r="U142" s="578">
        <v>4870.47</v>
      </c>
      <c r="V142" s="578">
        <v>0</v>
      </c>
      <c r="W142" s="578"/>
      <c r="X142" s="578">
        <v>0</v>
      </c>
      <c r="Y142" s="578">
        <v>0</v>
      </c>
      <c r="Z142" s="578">
        <v>0</v>
      </c>
      <c r="AA142" s="578">
        <v>0</v>
      </c>
      <c r="AB142" s="578">
        <v>16824.38</v>
      </c>
      <c r="AC142" s="578">
        <v>13660</v>
      </c>
      <c r="AD142" s="578">
        <v>70714</v>
      </c>
      <c r="AE142" s="578">
        <v>1069284.06</v>
      </c>
      <c r="AF142" s="578">
        <v>0</v>
      </c>
      <c r="AG142" s="578">
        <v>413972.71</v>
      </c>
      <c r="AH142" s="578">
        <v>109817.07</v>
      </c>
      <c r="AI142" s="578">
        <v>154256.35999999999</v>
      </c>
      <c r="AJ142" s="578">
        <v>114238.51</v>
      </c>
      <c r="AK142" s="578">
        <v>87525.64</v>
      </c>
      <c r="AL142" s="578">
        <v>2978.75</v>
      </c>
      <c r="AM142" s="578">
        <v>10560.11</v>
      </c>
      <c r="AN142" s="578">
        <v>0</v>
      </c>
      <c r="AO142" s="578">
        <v>0</v>
      </c>
      <c r="AP142" s="578">
        <v>95723.93</v>
      </c>
      <c r="AQ142" s="578">
        <v>3402</v>
      </c>
      <c r="AR142" s="578">
        <v>5743.43</v>
      </c>
      <c r="AS142" s="578">
        <v>8176.4</v>
      </c>
      <c r="AT142" s="578">
        <v>33766.04</v>
      </c>
      <c r="AU142" s="578">
        <v>40128.25</v>
      </c>
      <c r="AV142" s="578">
        <v>14864.69</v>
      </c>
      <c r="AW142" s="578">
        <v>80814.17</v>
      </c>
      <c r="AX142" s="578">
        <v>24743.79</v>
      </c>
      <c r="AY142" s="578">
        <v>0</v>
      </c>
      <c r="AZ142" s="578">
        <v>80280.61</v>
      </c>
      <c r="BA142" s="578">
        <v>8200</v>
      </c>
      <c r="BB142" s="578">
        <v>0</v>
      </c>
      <c r="BC142" s="578">
        <v>40751.94</v>
      </c>
      <c r="BD142" s="578">
        <v>82011.25</v>
      </c>
      <c r="BE142" s="578">
        <v>2140</v>
      </c>
      <c r="BF142" s="578">
        <v>124403.78</v>
      </c>
      <c r="BG142" s="578">
        <v>0</v>
      </c>
      <c r="BH142" s="578">
        <v>307.26</v>
      </c>
      <c r="BI142" s="578">
        <v>71703.42</v>
      </c>
      <c r="BJ142" s="578">
        <v>0</v>
      </c>
      <c r="BK142" s="578">
        <v>0</v>
      </c>
      <c r="BL142" s="578">
        <v>9251.5</v>
      </c>
      <c r="BM142" s="578">
        <v>0</v>
      </c>
      <c r="BN142" s="578">
        <v>0</v>
      </c>
      <c r="BO142" s="578">
        <v>10000</v>
      </c>
      <c r="BP142" s="578">
        <v>0</v>
      </c>
      <c r="BQ142" s="578">
        <v>0</v>
      </c>
      <c r="BR142" s="578">
        <v>0</v>
      </c>
      <c r="BS142" s="578">
        <v>0</v>
      </c>
      <c r="BT142" s="578">
        <v>0</v>
      </c>
      <c r="BU142" s="578">
        <v>742449.48</v>
      </c>
      <c r="BV142" s="578">
        <v>17882.91</v>
      </c>
      <c r="BW142" s="578">
        <v>0</v>
      </c>
      <c r="BX142" s="578">
        <v>0</v>
      </c>
      <c r="BY142" s="578">
        <v>0</v>
      </c>
      <c r="BZ142" s="578">
        <v>2664223.1800000002</v>
      </c>
      <c r="CA142" s="578">
        <v>2679794.17</v>
      </c>
      <c r="CB142" s="578">
        <v>9251.5</v>
      </c>
      <c r="CC142" s="578">
        <v>0</v>
      </c>
      <c r="CD142" s="578">
        <v>760332.39</v>
      </c>
    </row>
    <row r="143" spans="1:82" hidden="1" x14ac:dyDescent="0.3">
      <c r="A143" s="574" t="s">
        <v>1728</v>
      </c>
      <c r="B143" s="577">
        <v>3301023</v>
      </c>
      <c r="C143" s="574">
        <f>_xlfn.XLOOKUP(B143,'[1]Blade-Export_15-08-2022_sources'!B:B,'[1]Blade-Export_15-08-2022_sources'!F:F,0,FALSE)</f>
        <v>330</v>
      </c>
      <c r="D143" s="574">
        <f>_xlfn.XLOOKUP($B143,'[1]Blade-Export_15-08-2022_sources'!$B:$B,'[1]Blade-Export_15-08-2022_sources'!G:G,0,FALSE)</f>
        <v>1023</v>
      </c>
      <c r="E143" s="574" t="str">
        <f>_xlfn.XLOOKUP($B143,'[1]Blade-Export_15-08-2022_sources'!$B:$B,'[1]Blade-Export_15-08-2022_sources'!H:H,0,FALSE)</f>
        <v>JAKEMAN Nurs</v>
      </c>
      <c r="F143" s="578">
        <v>-86964.96</v>
      </c>
      <c r="G143" s="578">
        <v>0</v>
      </c>
      <c r="H143" s="578">
        <v>3731.97</v>
      </c>
      <c r="I143" s="578">
        <v>425544.43</v>
      </c>
      <c r="J143" s="578">
        <v>0</v>
      </c>
      <c r="K143" s="578">
        <v>42539.41</v>
      </c>
      <c r="L143" s="578">
        <v>0</v>
      </c>
      <c r="M143" s="578">
        <v>0</v>
      </c>
      <c r="N143" s="578">
        <v>0</v>
      </c>
      <c r="O143" s="578">
        <v>0</v>
      </c>
      <c r="P143" s="578">
        <v>91289.81</v>
      </c>
      <c r="Q143" s="578">
        <v>0</v>
      </c>
      <c r="R143" s="578">
        <v>0</v>
      </c>
      <c r="S143" s="578">
        <v>0</v>
      </c>
      <c r="T143" s="578">
        <v>0</v>
      </c>
      <c r="U143" s="578">
        <v>10597.13</v>
      </c>
      <c r="V143" s="578">
        <v>0</v>
      </c>
      <c r="W143" s="578"/>
      <c r="X143" s="578">
        <v>0</v>
      </c>
      <c r="Y143" s="578">
        <v>0</v>
      </c>
      <c r="Z143" s="578">
        <v>0</v>
      </c>
      <c r="AA143" s="578">
        <v>0</v>
      </c>
      <c r="AB143" s="578">
        <v>0</v>
      </c>
      <c r="AC143" s="578">
        <v>0</v>
      </c>
      <c r="AD143" s="578">
        <v>0</v>
      </c>
      <c r="AE143" s="578">
        <v>91183.51</v>
      </c>
      <c r="AF143" s="578">
        <v>0</v>
      </c>
      <c r="AG143" s="578">
        <v>173732.8</v>
      </c>
      <c r="AH143" s="578">
        <v>4083.75</v>
      </c>
      <c r="AI143" s="578">
        <v>40436.120000000003</v>
      </c>
      <c r="AJ143" s="578">
        <v>0</v>
      </c>
      <c r="AK143" s="578">
        <v>9741.86</v>
      </c>
      <c r="AL143" s="578">
        <v>1213.8</v>
      </c>
      <c r="AM143" s="578">
        <v>3520</v>
      </c>
      <c r="AN143" s="578">
        <v>0</v>
      </c>
      <c r="AO143" s="578">
        <v>0</v>
      </c>
      <c r="AP143" s="578">
        <v>4427.1400000000003</v>
      </c>
      <c r="AQ143" s="578">
        <v>554.16999999999996</v>
      </c>
      <c r="AR143" s="578">
        <v>11580.92</v>
      </c>
      <c r="AS143" s="578">
        <v>1884.22</v>
      </c>
      <c r="AT143" s="578">
        <v>997.47</v>
      </c>
      <c r="AU143" s="578">
        <v>14595.75</v>
      </c>
      <c r="AV143" s="578">
        <v>4155.4399999999996</v>
      </c>
      <c r="AW143" s="578">
        <v>17487.72</v>
      </c>
      <c r="AX143" s="578">
        <v>1633.33</v>
      </c>
      <c r="AY143" s="578">
        <v>0</v>
      </c>
      <c r="AZ143" s="578">
        <v>25083.71</v>
      </c>
      <c r="BA143" s="578">
        <v>2850</v>
      </c>
      <c r="BB143" s="578">
        <v>0</v>
      </c>
      <c r="BC143" s="578">
        <v>7989.28</v>
      </c>
      <c r="BD143" s="578">
        <v>30003.119999999999</v>
      </c>
      <c r="BE143" s="578">
        <v>167</v>
      </c>
      <c r="BF143" s="578">
        <v>65827.289999999994</v>
      </c>
      <c r="BG143" s="578">
        <v>0</v>
      </c>
      <c r="BH143" s="578">
        <v>0</v>
      </c>
      <c r="BI143" s="578">
        <v>0</v>
      </c>
      <c r="BJ143" s="578">
        <v>0</v>
      </c>
      <c r="BK143" s="578">
        <v>0</v>
      </c>
      <c r="BL143" s="578">
        <v>4783</v>
      </c>
      <c r="BM143" s="578">
        <v>0</v>
      </c>
      <c r="BN143" s="578">
        <v>0</v>
      </c>
      <c r="BO143" s="578">
        <v>10000</v>
      </c>
      <c r="BP143" s="578">
        <v>0</v>
      </c>
      <c r="BQ143" s="578">
        <v>2689.45</v>
      </c>
      <c r="BR143" s="578">
        <v>0</v>
      </c>
      <c r="BS143" s="578">
        <v>0</v>
      </c>
      <c r="BT143" s="578">
        <v>0</v>
      </c>
      <c r="BU143" s="578">
        <v>-30142.58</v>
      </c>
      <c r="BV143" s="578">
        <v>5825.52</v>
      </c>
      <c r="BW143" s="578">
        <v>0</v>
      </c>
      <c r="BX143" s="578">
        <v>0</v>
      </c>
      <c r="BY143" s="578">
        <v>0</v>
      </c>
      <c r="BZ143" s="578">
        <v>569970.78</v>
      </c>
      <c r="CA143" s="578">
        <v>513148.4</v>
      </c>
      <c r="CB143" s="578">
        <v>4783</v>
      </c>
      <c r="CC143" s="578">
        <v>2689.45</v>
      </c>
      <c r="CD143" s="578">
        <v>-24317.06</v>
      </c>
    </row>
    <row r="144" spans="1:82" hidden="1" x14ac:dyDescent="0.3">
      <c r="A144" s="574" t="s">
        <v>1729</v>
      </c>
      <c r="B144" s="577">
        <v>3307026</v>
      </c>
      <c r="C144" s="574">
        <f>_xlfn.XLOOKUP(B144,'[1]Blade-Export_15-08-2022_sources'!B:B,'[1]Blade-Export_15-08-2022_sources'!F:F,0,FALSE)</f>
        <v>330</v>
      </c>
      <c r="D144" s="574">
        <f>_xlfn.XLOOKUP($B144,'[1]Blade-Export_15-08-2022_sources'!$B:$B,'[1]Blade-Export_15-08-2022_sources'!G:G,0,FALSE)</f>
        <v>7026</v>
      </c>
      <c r="E144" s="574" t="str">
        <f>_xlfn.XLOOKUP($B144,'[1]Blade-Export_15-08-2022_sources'!$B:$B,'[1]Blade-Export_15-08-2022_sources'!H:H,0,FALSE)</f>
        <v>HUNTERS HILL Spec</v>
      </c>
      <c r="F144" s="578">
        <v>-972260.13</v>
      </c>
      <c r="G144" s="578">
        <v>0</v>
      </c>
      <c r="H144" s="578">
        <v>8522.5</v>
      </c>
      <c r="I144" s="578">
        <v>1000000</v>
      </c>
      <c r="J144" s="578">
        <v>0</v>
      </c>
      <c r="K144" s="578">
        <v>1308926.98</v>
      </c>
      <c r="L144" s="578">
        <v>0</v>
      </c>
      <c r="M144" s="578">
        <v>61990</v>
      </c>
      <c r="N144" s="578">
        <v>0</v>
      </c>
      <c r="O144" s="578">
        <v>0</v>
      </c>
      <c r="P144" s="578">
        <v>14706.4</v>
      </c>
      <c r="Q144" s="578">
        <v>0</v>
      </c>
      <c r="R144" s="578">
        <v>16292.62</v>
      </c>
      <c r="S144" s="578">
        <v>0</v>
      </c>
      <c r="T144" s="578">
        <v>0</v>
      </c>
      <c r="U144" s="578">
        <v>80</v>
      </c>
      <c r="V144" s="578">
        <v>0</v>
      </c>
      <c r="W144" s="578"/>
      <c r="X144" s="578">
        <v>0</v>
      </c>
      <c r="Y144" s="578">
        <v>0</v>
      </c>
      <c r="Z144" s="578">
        <v>0</v>
      </c>
      <c r="AA144" s="578">
        <v>0</v>
      </c>
      <c r="AB144" s="578">
        <v>2150</v>
      </c>
      <c r="AC144" s="578">
        <v>13200</v>
      </c>
      <c r="AD144" s="578">
        <v>0</v>
      </c>
      <c r="AE144" s="578">
        <v>550849.18999999994</v>
      </c>
      <c r="AF144" s="578">
        <v>0</v>
      </c>
      <c r="AG144" s="578">
        <v>76850.33</v>
      </c>
      <c r="AH144" s="578">
        <v>0</v>
      </c>
      <c r="AI144" s="578">
        <v>124095.01</v>
      </c>
      <c r="AJ144" s="578">
        <v>0</v>
      </c>
      <c r="AK144" s="578">
        <v>73681.56</v>
      </c>
      <c r="AL144" s="578">
        <v>146314.85</v>
      </c>
      <c r="AM144" s="578">
        <v>0</v>
      </c>
      <c r="AN144" s="578">
        <v>0</v>
      </c>
      <c r="AO144" s="578">
        <v>0</v>
      </c>
      <c r="AP144" s="578">
        <v>14305.52</v>
      </c>
      <c r="AQ144" s="578">
        <v>3035</v>
      </c>
      <c r="AR144" s="578">
        <v>2434.12</v>
      </c>
      <c r="AS144" s="578">
        <v>0</v>
      </c>
      <c r="AT144" s="578">
        <v>37433.69</v>
      </c>
      <c r="AU144" s="578">
        <v>0</v>
      </c>
      <c r="AV144" s="578">
        <v>419.95</v>
      </c>
      <c r="AW144" s="578">
        <v>23078.32</v>
      </c>
      <c r="AX144" s="578">
        <v>3174.33</v>
      </c>
      <c r="AY144" s="578">
        <v>1785.43</v>
      </c>
      <c r="AZ144" s="578">
        <v>84371.25</v>
      </c>
      <c r="BA144" s="578">
        <v>0</v>
      </c>
      <c r="BB144" s="578">
        <v>0</v>
      </c>
      <c r="BC144" s="578">
        <v>1766.65</v>
      </c>
      <c r="BD144" s="578">
        <v>55239.5</v>
      </c>
      <c r="BE144" s="578">
        <v>0</v>
      </c>
      <c r="BF144" s="578">
        <v>246251.17</v>
      </c>
      <c r="BG144" s="578">
        <v>0</v>
      </c>
      <c r="BH144" s="578">
        <v>0</v>
      </c>
      <c r="BI144" s="578">
        <v>0</v>
      </c>
      <c r="BJ144" s="578">
        <v>0</v>
      </c>
      <c r="BK144" s="578">
        <v>0</v>
      </c>
      <c r="BL144" s="578">
        <v>9923.1200000000008</v>
      </c>
      <c r="BM144" s="578">
        <v>0</v>
      </c>
      <c r="BN144" s="578">
        <v>0</v>
      </c>
      <c r="BO144" s="578">
        <v>10000</v>
      </c>
      <c r="BP144" s="578">
        <v>0</v>
      </c>
      <c r="BQ144" s="578">
        <v>10716.4</v>
      </c>
      <c r="BR144" s="578">
        <v>0</v>
      </c>
      <c r="BS144" s="578">
        <v>0</v>
      </c>
      <c r="BT144" s="578">
        <v>0</v>
      </c>
      <c r="BU144" s="578">
        <v>0</v>
      </c>
      <c r="BV144" s="578">
        <v>7729.22</v>
      </c>
      <c r="BW144" s="578">
        <v>0</v>
      </c>
      <c r="BX144" s="578">
        <v>0</v>
      </c>
      <c r="BY144" s="578">
        <v>0</v>
      </c>
      <c r="BZ144" s="578">
        <v>2417346</v>
      </c>
      <c r="CA144" s="578">
        <v>1445085.87</v>
      </c>
      <c r="CB144" s="578">
        <v>9923.1200000000008</v>
      </c>
      <c r="CC144" s="578">
        <v>10716.4</v>
      </c>
      <c r="CD144" s="578">
        <v>7729.22</v>
      </c>
    </row>
    <row r="145" spans="1:82" hidden="1" x14ac:dyDescent="0.3">
      <c r="A145" s="574" t="s">
        <v>1730</v>
      </c>
      <c r="B145" s="577">
        <v>3303317</v>
      </c>
      <c r="C145" s="574">
        <f>_xlfn.XLOOKUP(B145,'[1]Blade-Export_15-08-2022_sources'!B:B,'[1]Blade-Export_15-08-2022_sources'!F:F,0,FALSE)</f>
        <v>330</v>
      </c>
      <c r="D145" s="574">
        <f>_xlfn.XLOOKUP($B145,'[1]Blade-Export_15-08-2022_sources'!$B:$B,'[1]Blade-Export_15-08-2022_sources'!G:G,0,FALSE)</f>
        <v>3317</v>
      </c>
      <c r="E145" s="574" t="str">
        <f>_xlfn.XLOOKUP($B145,'[1]Blade-Export_15-08-2022_sources'!$B:$B,'[1]Blade-Export_15-08-2022_sources'!H:H,0,FALSE)</f>
        <v>HOLY FAMILY RC JI NC</v>
      </c>
      <c r="F145" s="578">
        <v>236098.03</v>
      </c>
      <c r="G145" s="578">
        <v>0</v>
      </c>
      <c r="H145" s="578">
        <v>0</v>
      </c>
      <c r="I145" s="578">
        <v>1094037.9099999999</v>
      </c>
      <c r="J145" s="578">
        <v>0</v>
      </c>
      <c r="K145" s="578">
        <v>23259.17</v>
      </c>
      <c r="L145" s="578">
        <v>0</v>
      </c>
      <c r="M145" s="578">
        <v>107255</v>
      </c>
      <c r="N145" s="578">
        <v>2539.69</v>
      </c>
      <c r="O145" s="578">
        <v>0</v>
      </c>
      <c r="P145" s="578">
        <v>106892.04</v>
      </c>
      <c r="Q145" s="578">
        <v>271.52999999999997</v>
      </c>
      <c r="R145" s="578">
        <v>0</v>
      </c>
      <c r="S145" s="578">
        <v>0</v>
      </c>
      <c r="T145" s="578">
        <v>0</v>
      </c>
      <c r="U145" s="578">
        <v>433.5</v>
      </c>
      <c r="V145" s="578">
        <v>0</v>
      </c>
      <c r="W145" s="578"/>
      <c r="X145" s="578">
        <v>0</v>
      </c>
      <c r="Y145" s="578">
        <v>0</v>
      </c>
      <c r="Z145" s="578">
        <v>0</v>
      </c>
      <c r="AA145" s="578">
        <v>0</v>
      </c>
      <c r="AB145" s="578">
        <v>8385.31</v>
      </c>
      <c r="AC145" s="578">
        <v>6600</v>
      </c>
      <c r="AD145" s="578">
        <v>36807</v>
      </c>
      <c r="AE145" s="578">
        <v>621991.75</v>
      </c>
      <c r="AF145" s="578">
        <v>0</v>
      </c>
      <c r="AG145" s="578">
        <v>271648.59000000003</v>
      </c>
      <c r="AH145" s="578">
        <v>42637.36</v>
      </c>
      <c r="AI145" s="578">
        <v>73825.600000000006</v>
      </c>
      <c r="AJ145" s="578">
        <v>177.85</v>
      </c>
      <c r="AK145" s="578">
        <v>29841.61</v>
      </c>
      <c r="AL145" s="578">
        <v>1529.52</v>
      </c>
      <c r="AM145" s="578">
        <v>3737.5</v>
      </c>
      <c r="AN145" s="578">
        <v>0</v>
      </c>
      <c r="AO145" s="578">
        <v>0</v>
      </c>
      <c r="AP145" s="578">
        <v>91689.73</v>
      </c>
      <c r="AQ145" s="578">
        <v>0</v>
      </c>
      <c r="AR145" s="578">
        <v>619.98</v>
      </c>
      <c r="AS145" s="578">
        <v>2097.84</v>
      </c>
      <c r="AT145" s="578">
        <v>10185.67</v>
      </c>
      <c r="AU145" s="578">
        <v>3859.2</v>
      </c>
      <c r="AV145" s="578">
        <v>7514.01</v>
      </c>
      <c r="AW145" s="578">
        <v>44665.82</v>
      </c>
      <c r="AX145" s="578">
        <v>5407.65</v>
      </c>
      <c r="AY145" s="578">
        <v>0</v>
      </c>
      <c r="AZ145" s="578">
        <v>18610.14</v>
      </c>
      <c r="BA145" s="578">
        <v>6323.8</v>
      </c>
      <c r="BB145" s="578">
        <v>0</v>
      </c>
      <c r="BC145" s="578">
        <v>58659.97</v>
      </c>
      <c r="BD145" s="578">
        <v>16077.06</v>
      </c>
      <c r="BE145" s="578">
        <v>961</v>
      </c>
      <c r="BF145" s="578">
        <v>99196.97</v>
      </c>
      <c r="BG145" s="578">
        <v>0</v>
      </c>
      <c r="BH145" s="578">
        <v>0</v>
      </c>
      <c r="BI145" s="578">
        <v>17102.580000000002</v>
      </c>
      <c r="BJ145" s="578">
        <v>0</v>
      </c>
      <c r="BK145" s="578">
        <v>0</v>
      </c>
      <c r="BL145" s="578">
        <v>0</v>
      </c>
      <c r="BM145" s="578">
        <v>0</v>
      </c>
      <c r="BN145" s="578">
        <v>0</v>
      </c>
      <c r="BO145" s="578">
        <v>10000</v>
      </c>
      <c r="BP145" s="578">
        <v>0</v>
      </c>
      <c r="BQ145" s="578">
        <v>0</v>
      </c>
      <c r="BR145" s="578">
        <v>0</v>
      </c>
      <c r="BS145" s="578">
        <v>0</v>
      </c>
      <c r="BT145" s="578">
        <v>0</v>
      </c>
      <c r="BU145" s="578">
        <v>194217.98</v>
      </c>
      <c r="BV145" s="578">
        <v>0</v>
      </c>
      <c r="BW145" s="578">
        <v>0</v>
      </c>
      <c r="BX145" s="578">
        <v>0</v>
      </c>
      <c r="BY145" s="578">
        <v>0</v>
      </c>
      <c r="BZ145" s="578">
        <v>1386481.15</v>
      </c>
      <c r="CA145" s="578">
        <v>1428361.2</v>
      </c>
      <c r="CB145" s="578">
        <v>0</v>
      </c>
      <c r="CC145" s="578">
        <v>0</v>
      </c>
      <c r="CD145" s="578">
        <v>194217.98</v>
      </c>
    </row>
    <row r="146" spans="1:82" hidden="1" x14ac:dyDescent="0.3">
      <c r="A146" s="574" t="s">
        <v>1731</v>
      </c>
      <c r="B146" s="577">
        <v>3304223</v>
      </c>
      <c r="C146" s="574">
        <f>_xlfn.XLOOKUP(B146,'[1]Blade-Export_15-08-2022_sources'!B:B,'[1]Blade-Export_15-08-2022_sources'!F:F,0,FALSE)</f>
        <v>330</v>
      </c>
      <c r="D146" s="574">
        <f>_xlfn.XLOOKUP($B146,'[1]Blade-Export_15-08-2022_sources'!$B:$B,'[1]Blade-Export_15-08-2022_sources'!G:G,0,FALSE)</f>
        <v>4223</v>
      </c>
      <c r="E146" s="574" t="str">
        <f>_xlfn.XLOOKUP($B146,'[1]Blade-Export_15-08-2022_sources'!$B:$B,'[1]Blade-Export_15-08-2022_sources'!H:H,0,FALSE)</f>
        <v xml:space="preserve">HOLTE Sec (16+) </v>
      </c>
      <c r="F146" s="578">
        <v>5282073.34</v>
      </c>
      <c r="G146" s="578">
        <v>0</v>
      </c>
      <c r="H146" s="578">
        <v>0</v>
      </c>
      <c r="I146" s="578">
        <v>7299621.79</v>
      </c>
      <c r="J146" s="578">
        <v>1080313.1000000001</v>
      </c>
      <c r="K146" s="578">
        <v>105322.99</v>
      </c>
      <c r="L146" s="578">
        <v>0</v>
      </c>
      <c r="M146" s="578">
        <v>709338.61</v>
      </c>
      <c r="N146" s="578">
        <v>34107.040000000001</v>
      </c>
      <c r="O146" s="578">
        <v>0</v>
      </c>
      <c r="P146" s="578">
        <v>331832.89</v>
      </c>
      <c r="Q146" s="578">
        <v>0</v>
      </c>
      <c r="R146" s="578">
        <v>0</v>
      </c>
      <c r="S146" s="578">
        <v>0</v>
      </c>
      <c r="T146" s="578">
        <v>0</v>
      </c>
      <c r="U146" s="578">
        <v>409</v>
      </c>
      <c r="V146" s="578">
        <v>0</v>
      </c>
      <c r="W146" s="578"/>
      <c r="X146" s="578">
        <v>0</v>
      </c>
      <c r="Y146" s="578">
        <v>0</v>
      </c>
      <c r="Z146" s="578">
        <v>0</v>
      </c>
      <c r="AA146" s="578">
        <v>0</v>
      </c>
      <c r="AB146" s="578">
        <v>100361.56</v>
      </c>
      <c r="AC146" s="578">
        <v>34960</v>
      </c>
      <c r="AD146" s="578">
        <v>0</v>
      </c>
      <c r="AE146" s="578">
        <v>5280683.87</v>
      </c>
      <c r="AF146" s="578">
        <v>0</v>
      </c>
      <c r="AG146" s="578">
        <v>354147.8</v>
      </c>
      <c r="AH146" s="578">
        <v>0</v>
      </c>
      <c r="AI146" s="578">
        <v>1145581.01</v>
      </c>
      <c r="AJ146" s="578">
        <v>0</v>
      </c>
      <c r="AK146" s="578">
        <v>92490.5</v>
      </c>
      <c r="AL146" s="578">
        <v>44643.31</v>
      </c>
      <c r="AM146" s="578">
        <v>6715.74</v>
      </c>
      <c r="AN146" s="578">
        <v>0</v>
      </c>
      <c r="AO146" s="578">
        <v>0</v>
      </c>
      <c r="AP146" s="578">
        <v>26047.439999999999</v>
      </c>
      <c r="AQ146" s="578">
        <v>0</v>
      </c>
      <c r="AR146" s="578">
        <v>0</v>
      </c>
      <c r="AS146" s="578">
        <v>141232.22</v>
      </c>
      <c r="AT146" s="578">
        <v>225612.79</v>
      </c>
      <c r="AU146" s="578">
        <v>171194.56</v>
      </c>
      <c r="AV146" s="578">
        <v>0</v>
      </c>
      <c r="AW146" s="578">
        <v>113241.59</v>
      </c>
      <c r="AX146" s="578">
        <v>139631.64000000001</v>
      </c>
      <c r="AY146" s="578">
        <v>166227.16</v>
      </c>
      <c r="AZ146" s="578">
        <v>225538.9</v>
      </c>
      <c r="BA146" s="578">
        <v>32168.25</v>
      </c>
      <c r="BB146" s="578">
        <v>0</v>
      </c>
      <c r="BC146" s="578">
        <v>314340.3</v>
      </c>
      <c r="BD146" s="578">
        <v>64665.24</v>
      </c>
      <c r="BE146" s="578">
        <v>73046.149999999994</v>
      </c>
      <c r="BF146" s="578">
        <v>795949.36</v>
      </c>
      <c r="BG146" s="578">
        <v>0</v>
      </c>
      <c r="BH146" s="578">
        <v>989.32</v>
      </c>
      <c r="BI146" s="578">
        <v>416730.91</v>
      </c>
      <c r="BJ146" s="578">
        <v>0</v>
      </c>
      <c r="BK146" s="578">
        <v>0</v>
      </c>
      <c r="BL146" s="578">
        <v>0</v>
      </c>
      <c r="BM146" s="578">
        <v>0</v>
      </c>
      <c r="BN146" s="578">
        <v>0</v>
      </c>
      <c r="BO146" s="578">
        <v>10000</v>
      </c>
      <c r="BP146" s="578">
        <v>0</v>
      </c>
      <c r="BQ146" s="578">
        <v>0</v>
      </c>
      <c r="BR146" s="578">
        <v>0</v>
      </c>
      <c r="BS146" s="578">
        <v>0</v>
      </c>
      <c r="BT146" s="578">
        <v>0</v>
      </c>
      <c r="BU146" s="578">
        <v>5147462.26</v>
      </c>
      <c r="BV146" s="578">
        <v>0</v>
      </c>
      <c r="BW146" s="578">
        <v>0</v>
      </c>
      <c r="BX146" s="578">
        <v>0</v>
      </c>
      <c r="BY146" s="578">
        <v>0</v>
      </c>
      <c r="BZ146" s="578">
        <v>9696266.9800000004</v>
      </c>
      <c r="CA146" s="578">
        <v>9830878.0600000005</v>
      </c>
      <c r="CB146" s="578">
        <v>0</v>
      </c>
      <c r="CC146" s="578">
        <v>0</v>
      </c>
      <c r="CD146" s="578">
        <v>5147462.26</v>
      </c>
    </row>
    <row r="147" spans="1:82" hidden="1" x14ac:dyDescent="0.3">
      <c r="A147" s="574" t="s">
        <v>1732</v>
      </c>
      <c r="B147" s="577">
        <v>3301802</v>
      </c>
      <c r="C147" s="574">
        <f>_xlfn.XLOOKUP(B147,'[1]Blade-Export_15-08-2022_sources'!B:B,'[1]Blade-Export_15-08-2022_sources'!F:F,0,FALSE)</f>
        <v>330</v>
      </c>
      <c r="D147" s="574">
        <f>_xlfn.XLOOKUP($B147,'[1]Blade-Export_15-08-2022_sources'!$B:$B,'[1]Blade-Export_15-08-2022_sources'!G:G,0,FALSE)</f>
        <v>1802</v>
      </c>
      <c r="E147" s="574" t="str">
        <f>_xlfn.XLOOKUP($B147,'[1]Blade-Export_15-08-2022_sources'!$B:$B,'[1]Blade-Export_15-08-2022_sources'!H:H,0,FALSE)</f>
        <v xml:space="preserve">EDITH CADBURY Nrsy </v>
      </c>
      <c r="F147" s="578">
        <v>19803.830000000002</v>
      </c>
      <c r="G147" s="578">
        <v>0</v>
      </c>
      <c r="H147" s="578">
        <v>8061.59</v>
      </c>
      <c r="I147" s="578">
        <v>423316.7</v>
      </c>
      <c r="J147" s="578">
        <v>0</v>
      </c>
      <c r="K147" s="578">
        <v>5150</v>
      </c>
      <c r="L147" s="578">
        <v>0</v>
      </c>
      <c r="M147" s="578">
        <v>0</v>
      </c>
      <c r="N147" s="578">
        <v>0</v>
      </c>
      <c r="O147" s="578">
        <v>0</v>
      </c>
      <c r="P147" s="578">
        <v>50542.28</v>
      </c>
      <c r="Q147" s="578">
        <v>0</v>
      </c>
      <c r="R147" s="578">
        <v>0</v>
      </c>
      <c r="S147" s="578">
        <v>0</v>
      </c>
      <c r="T147" s="578">
        <v>0</v>
      </c>
      <c r="U147" s="578">
        <v>0</v>
      </c>
      <c r="V147" s="578">
        <v>0</v>
      </c>
      <c r="W147" s="578"/>
      <c r="X147" s="578">
        <v>0</v>
      </c>
      <c r="Y147" s="578">
        <v>0</v>
      </c>
      <c r="Z147" s="578">
        <v>0</v>
      </c>
      <c r="AA147" s="578">
        <v>0</v>
      </c>
      <c r="AB147" s="578">
        <v>0</v>
      </c>
      <c r="AC147" s="578">
        <v>0</v>
      </c>
      <c r="AD147" s="578">
        <v>0</v>
      </c>
      <c r="AE147" s="578">
        <v>117949.07</v>
      </c>
      <c r="AF147" s="578">
        <v>0</v>
      </c>
      <c r="AG147" s="578">
        <v>127213.07</v>
      </c>
      <c r="AH147" s="578">
        <v>0</v>
      </c>
      <c r="AI147" s="578">
        <v>92985.45</v>
      </c>
      <c r="AJ147" s="578">
        <v>0</v>
      </c>
      <c r="AK147" s="578">
        <v>60535.06</v>
      </c>
      <c r="AL147" s="578">
        <v>894.5</v>
      </c>
      <c r="AM147" s="578">
        <v>165</v>
      </c>
      <c r="AN147" s="578">
        <v>0</v>
      </c>
      <c r="AO147" s="578">
        <v>0</v>
      </c>
      <c r="AP147" s="578">
        <v>7437.05</v>
      </c>
      <c r="AQ147" s="578">
        <v>380.97</v>
      </c>
      <c r="AR147" s="578">
        <v>3142.65</v>
      </c>
      <c r="AS147" s="578">
        <v>563.96</v>
      </c>
      <c r="AT147" s="578">
        <v>4620.8900000000003</v>
      </c>
      <c r="AU147" s="578">
        <v>16467</v>
      </c>
      <c r="AV147" s="578">
        <v>903.89</v>
      </c>
      <c r="AW147" s="578">
        <v>24306.14</v>
      </c>
      <c r="AX147" s="578">
        <v>7099.03</v>
      </c>
      <c r="AY147" s="578">
        <v>0</v>
      </c>
      <c r="AZ147" s="578">
        <v>3521.59</v>
      </c>
      <c r="BA147" s="578">
        <v>2850</v>
      </c>
      <c r="BB147" s="578">
        <v>0</v>
      </c>
      <c r="BC147" s="578">
        <v>2661.15</v>
      </c>
      <c r="BD147" s="578">
        <v>8683.3700000000008</v>
      </c>
      <c r="BE147" s="578">
        <v>167</v>
      </c>
      <c r="BF147" s="578">
        <v>33552.07</v>
      </c>
      <c r="BG147" s="578">
        <v>0</v>
      </c>
      <c r="BH147" s="578">
        <v>0</v>
      </c>
      <c r="BI147" s="578">
        <v>0</v>
      </c>
      <c r="BJ147" s="578">
        <v>0</v>
      </c>
      <c r="BK147" s="578">
        <v>0</v>
      </c>
      <c r="BL147" s="578">
        <v>4652.05</v>
      </c>
      <c r="BM147" s="578">
        <v>0</v>
      </c>
      <c r="BN147" s="578">
        <v>0</v>
      </c>
      <c r="BO147" s="578">
        <v>10000</v>
      </c>
      <c r="BP147" s="578">
        <v>0</v>
      </c>
      <c r="BQ147" s="578">
        <v>3501.2</v>
      </c>
      <c r="BR147" s="578">
        <v>0</v>
      </c>
      <c r="BS147" s="578">
        <v>0</v>
      </c>
      <c r="BT147" s="578">
        <v>0</v>
      </c>
      <c r="BU147" s="578">
        <v>-17286.11</v>
      </c>
      <c r="BV147" s="578">
        <v>9212.44</v>
      </c>
      <c r="BW147" s="578">
        <v>0</v>
      </c>
      <c r="BX147" s="578">
        <v>0</v>
      </c>
      <c r="BY147" s="578">
        <v>0</v>
      </c>
      <c r="BZ147" s="578">
        <v>479008.98</v>
      </c>
      <c r="CA147" s="578">
        <v>516098.91</v>
      </c>
      <c r="CB147" s="578">
        <v>4652.05</v>
      </c>
      <c r="CC147" s="578">
        <v>3501.2</v>
      </c>
      <c r="CD147" s="578">
        <v>-8073.67</v>
      </c>
    </row>
    <row r="148" spans="1:82" hidden="1" x14ac:dyDescent="0.3">
      <c r="A148" s="574" t="s">
        <v>1733</v>
      </c>
      <c r="B148" s="577">
        <v>3301100</v>
      </c>
      <c r="C148" s="574">
        <f>_xlfn.XLOOKUP(B148,'[1]Blade-Export_15-08-2022_sources'!B:B,'[1]Blade-Export_15-08-2022_sources'!F:F,0,FALSE)</f>
        <v>330</v>
      </c>
      <c r="D148" s="574">
        <f>_xlfn.XLOOKUP($B148,'[1]Blade-Export_15-08-2022_sources'!$B:$B,'[1]Blade-Export_15-08-2022_sources'!G:G,0,FALSE)</f>
        <v>1100</v>
      </c>
      <c r="E148" s="574" t="str">
        <f>_xlfn.XLOOKUP($B148,'[1]Blade-Export_15-08-2022_sources'!$B:$B,'[1]Blade-Export_15-08-2022_sources'!H:H,0,FALSE)</f>
        <v>CITY OF BIRMINGHAM SCHOOL</v>
      </c>
      <c r="F148" s="578">
        <v>304319.61</v>
      </c>
      <c r="G148" s="578">
        <v>0</v>
      </c>
      <c r="H148" s="578">
        <v>92650.78</v>
      </c>
      <c r="I148" s="578">
        <v>7971785.5300000003</v>
      </c>
      <c r="J148" s="578">
        <v>0</v>
      </c>
      <c r="K148" s="578">
        <v>12000</v>
      </c>
      <c r="L148" s="578">
        <v>0</v>
      </c>
      <c r="M148" s="578">
        <v>334547.5</v>
      </c>
      <c r="N148" s="578">
        <v>29610</v>
      </c>
      <c r="O148" s="578">
        <v>0</v>
      </c>
      <c r="P148" s="578">
        <v>670318.37</v>
      </c>
      <c r="Q148" s="578">
        <v>426.05</v>
      </c>
      <c r="R148" s="578">
        <v>14119.98</v>
      </c>
      <c r="S148" s="578">
        <v>0</v>
      </c>
      <c r="T148" s="578">
        <v>0</v>
      </c>
      <c r="U148" s="578">
        <v>0</v>
      </c>
      <c r="V148" s="578">
        <v>0</v>
      </c>
      <c r="W148" s="578"/>
      <c r="X148" s="578">
        <v>0</v>
      </c>
      <c r="Y148" s="578">
        <v>0</v>
      </c>
      <c r="Z148" s="578">
        <v>0</v>
      </c>
      <c r="AA148" s="578">
        <v>0</v>
      </c>
      <c r="AB148" s="578">
        <v>86185.63</v>
      </c>
      <c r="AC148" s="578">
        <v>44000</v>
      </c>
      <c r="AD148" s="578">
        <v>18902</v>
      </c>
      <c r="AE148" s="578">
        <v>4333791.38</v>
      </c>
      <c r="AF148" s="578">
        <v>105137.29</v>
      </c>
      <c r="AG148" s="578">
        <v>971416.57</v>
      </c>
      <c r="AH148" s="578">
        <v>160889.12</v>
      </c>
      <c r="AI148" s="578">
        <v>978820.73</v>
      </c>
      <c r="AJ148" s="578">
        <v>276.94</v>
      </c>
      <c r="AK148" s="578">
        <v>359743.43</v>
      </c>
      <c r="AL148" s="578">
        <v>16835.95</v>
      </c>
      <c r="AM148" s="578">
        <v>30478.52</v>
      </c>
      <c r="AN148" s="578">
        <v>0</v>
      </c>
      <c r="AO148" s="578">
        <v>0</v>
      </c>
      <c r="AP148" s="578">
        <v>145807.1</v>
      </c>
      <c r="AQ148" s="578">
        <v>6398.87</v>
      </c>
      <c r="AR148" s="578">
        <v>5762.94</v>
      </c>
      <c r="AS148" s="578">
        <v>3765.67</v>
      </c>
      <c r="AT148" s="578">
        <v>78861.5</v>
      </c>
      <c r="AU148" s="578">
        <v>85338.5</v>
      </c>
      <c r="AV148" s="578">
        <v>34444.449999999997</v>
      </c>
      <c r="AW148" s="578">
        <v>176122.02</v>
      </c>
      <c r="AX148" s="578">
        <v>99798.69</v>
      </c>
      <c r="AY148" s="578">
        <v>44133.09</v>
      </c>
      <c r="AZ148" s="578">
        <v>84833.48</v>
      </c>
      <c r="BA148" s="578">
        <v>12750</v>
      </c>
      <c r="BB148" s="578">
        <v>0</v>
      </c>
      <c r="BC148" s="578">
        <v>105819.51</v>
      </c>
      <c r="BD148" s="578">
        <v>233584.05</v>
      </c>
      <c r="BE148" s="578">
        <v>2795.51</v>
      </c>
      <c r="BF148" s="578">
        <v>876656.31</v>
      </c>
      <c r="BG148" s="578">
        <v>0</v>
      </c>
      <c r="BH148" s="578">
        <v>0</v>
      </c>
      <c r="BI148" s="578">
        <v>0</v>
      </c>
      <c r="BJ148" s="578">
        <v>0</v>
      </c>
      <c r="BK148" s="578">
        <v>0</v>
      </c>
      <c r="BL148" s="578">
        <v>21735.62</v>
      </c>
      <c r="BM148" s="578">
        <v>0</v>
      </c>
      <c r="BN148" s="578">
        <v>0</v>
      </c>
      <c r="BO148" s="578">
        <v>10000</v>
      </c>
      <c r="BP148" s="578">
        <v>0</v>
      </c>
      <c r="BQ148" s="578">
        <v>94920.59</v>
      </c>
      <c r="BR148" s="578">
        <v>0</v>
      </c>
      <c r="BS148" s="578">
        <v>0</v>
      </c>
      <c r="BT148" s="578">
        <v>0</v>
      </c>
      <c r="BU148" s="578">
        <v>531953.05000000005</v>
      </c>
      <c r="BV148" s="578">
        <v>19465.810000000001</v>
      </c>
      <c r="BW148" s="578">
        <v>0</v>
      </c>
      <c r="BX148" s="578">
        <v>0</v>
      </c>
      <c r="BY148" s="578">
        <v>0</v>
      </c>
      <c r="BZ148" s="578">
        <v>9181895.0600000005</v>
      </c>
      <c r="CA148" s="578">
        <v>8954261.6199999992</v>
      </c>
      <c r="CB148" s="578">
        <v>21735.62</v>
      </c>
      <c r="CC148" s="578">
        <v>94920.59</v>
      </c>
      <c r="CD148" s="578">
        <v>551418.86</v>
      </c>
    </row>
    <row r="149" spans="1:82" hidden="1" x14ac:dyDescent="0.3">
      <c r="A149" s="574" t="s">
        <v>1734</v>
      </c>
      <c r="B149" s="577">
        <v>3302288</v>
      </c>
      <c r="C149" s="574">
        <f>_xlfn.XLOOKUP(B149,'[1]Blade-Export_15-08-2022_sources'!B:B,'[1]Blade-Export_15-08-2022_sources'!F:F,0,FALSE)</f>
        <v>330</v>
      </c>
      <c r="D149" s="574">
        <f>_xlfn.XLOOKUP($B149,'[1]Blade-Export_15-08-2022_sources'!$B:$B,'[1]Blade-Export_15-08-2022_sources'!G:G,0,FALSE)</f>
        <v>2288</v>
      </c>
      <c r="E149" s="574" t="str">
        <f>_xlfn.XLOOKUP($B149,'[1]Blade-Export_15-08-2022_sources'!$B:$B,'[1]Blade-Export_15-08-2022_sources'!H:H,0,FALSE)</f>
        <v xml:space="preserve">HOLLYWOOD JI </v>
      </c>
      <c r="F149" s="578">
        <v>-217533.51</v>
      </c>
      <c r="G149" s="578">
        <v>0</v>
      </c>
      <c r="H149" s="578">
        <v>39856.07</v>
      </c>
      <c r="I149" s="578">
        <v>1925572.58</v>
      </c>
      <c r="J149" s="578">
        <v>0</v>
      </c>
      <c r="K149" s="578">
        <v>195292.46</v>
      </c>
      <c r="L149" s="578">
        <v>0</v>
      </c>
      <c r="M149" s="578">
        <v>183230</v>
      </c>
      <c r="N149" s="578">
        <v>4370.63</v>
      </c>
      <c r="O149" s="578">
        <v>0</v>
      </c>
      <c r="P149" s="578">
        <v>172530.41</v>
      </c>
      <c r="Q149" s="578">
        <v>0</v>
      </c>
      <c r="R149" s="578">
        <v>0</v>
      </c>
      <c r="S149" s="578">
        <v>0</v>
      </c>
      <c r="T149" s="578">
        <v>0</v>
      </c>
      <c r="U149" s="578">
        <v>4153.4399999999996</v>
      </c>
      <c r="V149" s="578">
        <v>0</v>
      </c>
      <c r="W149" s="578"/>
      <c r="X149" s="578">
        <v>0</v>
      </c>
      <c r="Y149" s="578">
        <v>0</v>
      </c>
      <c r="Z149" s="578">
        <v>0</v>
      </c>
      <c r="AA149" s="578">
        <v>0</v>
      </c>
      <c r="AB149" s="578">
        <v>14085.63</v>
      </c>
      <c r="AC149" s="578">
        <v>14300</v>
      </c>
      <c r="AD149" s="578">
        <v>71372</v>
      </c>
      <c r="AE149" s="578">
        <v>1245322.32</v>
      </c>
      <c r="AF149" s="578">
        <v>3442.58</v>
      </c>
      <c r="AG149" s="578">
        <v>409294.3</v>
      </c>
      <c r="AH149" s="578">
        <v>81405.08</v>
      </c>
      <c r="AI149" s="578">
        <v>187089.62</v>
      </c>
      <c r="AJ149" s="578">
        <v>43904.22</v>
      </c>
      <c r="AK149" s="578">
        <v>75909.08</v>
      </c>
      <c r="AL149" s="578">
        <v>153.51</v>
      </c>
      <c r="AM149" s="578">
        <v>6112.33</v>
      </c>
      <c r="AN149" s="578">
        <v>0</v>
      </c>
      <c r="AO149" s="578">
        <v>0</v>
      </c>
      <c r="AP149" s="578">
        <v>4648.5600000000004</v>
      </c>
      <c r="AQ149" s="578">
        <v>1394.77</v>
      </c>
      <c r="AR149" s="578">
        <v>7601.06</v>
      </c>
      <c r="AS149" s="578">
        <v>6350.18</v>
      </c>
      <c r="AT149" s="578">
        <v>19008.330000000002</v>
      </c>
      <c r="AU149" s="578">
        <v>46310.400000000001</v>
      </c>
      <c r="AV149" s="578">
        <v>5141.76</v>
      </c>
      <c r="AW149" s="578">
        <v>47046.82</v>
      </c>
      <c r="AX149" s="578">
        <v>9932.35</v>
      </c>
      <c r="AY149" s="578">
        <v>0</v>
      </c>
      <c r="AZ149" s="578">
        <v>55594.07</v>
      </c>
      <c r="BA149" s="578">
        <v>9879.8700000000008</v>
      </c>
      <c r="BB149" s="578">
        <v>0</v>
      </c>
      <c r="BC149" s="578">
        <v>68374.31</v>
      </c>
      <c r="BD149" s="578">
        <v>25873.31</v>
      </c>
      <c r="BE149" s="578">
        <v>5554.5</v>
      </c>
      <c r="BF149" s="578">
        <v>89352.76</v>
      </c>
      <c r="BG149" s="578">
        <v>0</v>
      </c>
      <c r="BH149" s="578">
        <v>0</v>
      </c>
      <c r="BI149" s="578">
        <v>0</v>
      </c>
      <c r="BJ149" s="578">
        <v>0</v>
      </c>
      <c r="BK149" s="578">
        <v>0</v>
      </c>
      <c r="BL149" s="578">
        <v>8623.75</v>
      </c>
      <c r="BM149" s="578">
        <v>0</v>
      </c>
      <c r="BN149" s="578">
        <v>0</v>
      </c>
      <c r="BO149" s="578">
        <v>10000</v>
      </c>
      <c r="BP149" s="578">
        <v>0</v>
      </c>
      <c r="BQ149" s="578">
        <v>48479.82</v>
      </c>
      <c r="BR149" s="578">
        <v>0</v>
      </c>
      <c r="BS149" s="578">
        <v>0</v>
      </c>
      <c r="BT149" s="578">
        <v>0</v>
      </c>
      <c r="BU149" s="578">
        <v>-87322.45</v>
      </c>
      <c r="BV149" s="578">
        <v>0</v>
      </c>
      <c r="BW149" s="578">
        <v>0</v>
      </c>
      <c r="BX149" s="578">
        <v>0</v>
      </c>
      <c r="BY149" s="578">
        <v>0</v>
      </c>
      <c r="BZ149" s="578">
        <v>2584907.15</v>
      </c>
      <c r="CA149" s="578">
        <v>2454696.09</v>
      </c>
      <c r="CB149" s="578">
        <v>8623.75</v>
      </c>
      <c r="CC149" s="578">
        <v>48479.82</v>
      </c>
      <c r="CD149" s="578">
        <v>-87322.45</v>
      </c>
    </row>
    <row r="150" spans="1:82" hidden="1" x14ac:dyDescent="0.3">
      <c r="A150" s="574" t="s">
        <v>1735</v>
      </c>
      <c r="B150" s="577">
        <v>3302474</v>
      </c>
      <c r="C150" s="574">
        <f>_xlfn.XLOOKUP(B150,'[1]Blade-Export_15-08-2022_sources'!B:B,'[1]Blade-Export_15-08-2022_sources'!F:F,0,FALSE)</f>
        <v>330</v>
      </c>
      <c r="D150" s="574">
        <f>_xlfn.XLOOKUP($B150,'[1]Blade-Export_15-08-2022_sources'!$B:$B,'[1]Blade-Export_15-08-2022_sources'!G:G,0,FALSE)</f>
        <v>2474</v>
      </c>
      <c r="E150" s="574" t="str">
        <f>_xlfn.XLOOKUP($B150,'[1]Blade-Export_15-08-2022_sources'!$B:$B,'[1]Blade-Export_15-08-2022_sources'!H:H,0,FALSE)</f>
        <v xml:space="preserve">HOLLYFIELD JI </v>
      </c>
      <c r="F150" s="578">
        <v>23235.66</v>
      </c>
      <c r="G150" s="578">
        <v>0</v>
      </c>
      <c r="H150" s="578">
        <v>15694.67</v>
      </c>
      <c r="I150" s="578">
        <v>1870518.01</v>
      </c>
      <c r="J150" s="578">
        <v>0</v>
      </c>
      <c r="K150" s="578">
        <v>35961</v>
      </c>
      <c r="L150" s="578">
        <v>0</v>
      </c>
      <c r="M150" s="578">
        <v>176195</v>
      </c>
      <c r="N150" s="578">
        <v>4075.31</v>
      </c>
      <c r="O150" s="578">
        <v>0</v>
      </c>
      <c r="P150" s="578">
        <v>77668.63</v>
      </c>
      <c r="Q150" s="578">
        <v>32.53</v>
      </c>
      <c r="R150" s="578">
        <v>44.17</v>
      </c>
      <c r="S150" s="578">
        <v>0</v>
      </c>
      <c r="T150" s="578">
        <v>0</v>
      </c>
      <c r="U150" s="578">
        <v>27626.61</v>
      </c>
      <c r="V150" s="578">
        <v>0</v>
      </c>
      <c r="W150" s="578"/>
      <c r="X150" s="578">
        <v>0</v>
      </c>
      <c r="Y150" s="578">
        <v>0</v>
      </c>
      <c r="Z150" s="578">
        <v>0</v>
      </c>
      <c r="AA150" s="578">
        <v>0</v>
      </c>
      <c r="AB150" s="578">
        <v>13572.81</v>
      </c>
      <c r="AC150" s="578">
        <v>14000</v>
      </c>
      <c r="AD150" s="578">
        <v>75680</v>
      </c>
      <c r="AE150" s="578">
        <v>1179133.49</v>
      </c>
      <c r="AF150" s="578">
        <v>0</v>
      </c>
      <c r="AG150" s="578">
        <v>317279.87</v>
      </c>
      <c r="AH150" s="578">
        <v>35588.47</v>
      </c>
      <c r="AI150" s="578">
        <v>147247.06</v>
      </c>
      <c r="AJ150" s="578">
        <v>0</v>
      </c>
      <c r="AK150" s="578">
        <v>72872.960000000006</v>
      </c>
      <c r="AL150" s="578">
        <v>2456</v>
      </c>
      <c r="AM150" s="578">
        <v>490</v>
      </c>
      <c r="AN150" s="578">
        <v>0</v>
      </c>
      <c r="AO150" s="578">
        <v>0</v>
      </c>
      <c r="AP150" s="578">
        <v>19285.8</v>
      </c>
      <c r="AQ150" s="578">
        <v>465</v>
      </c>
      <c r="AR150" s="578">
        <v>39448.65</v>
      </c>
      <c r="AS150" s="578">
        <v>7920.64</v>
      </c>
      <c r="AT150" s="578">
        <v>22386</v>
      </c>
      <c r="AU150" s="578">
        <v>24322.51</v>
      </c>
      <c r="AV150" s="578">
        <v>11213.74</v>
      </c>
      <c r="AW150" s="578">
        <v>58621.4</v>
      </c>
      <c r="AX150" s="578">
        <v>4665.75</v>
      </c>
      <c r="AY150" s="578">
        <v>0</v>
      </c>
      <c r="AZ150" s="578">
        <v>16267.79</v>
      </c>
      <c r="BA150" s="578">
        <v>8200</v>
      </c>
      <c r="BB150" s="578">
        <v>0</v>
      </c>
      <c r="BC150" s="578">
        <v>38725.25</v>
      </c>
      <c r="BD150" s="578">
        <v>49958.94</v>
      </c>
      <c r="BE150" s="578">
        <v>630.17999999999995</v>
      </c>
      <c r="BF150" s="578">
        <v>210316.15</v>
      </c>
      <c r="BG150" s="578">
        <v>0</v>
      </c>
      <c r="BH150" s="578">
        <v>0</v>
      </c>
      <c r="BI150" s="578">
        <v>3329.2</v>
      </c>
      <c r="BJ150" s="578">
        <v>0</v>
      </c>
      <c r="BK150" s="578">
        <v>0</v>
      </c>
      <c r="BL150" s="578">
        <v>8668.75</v>
      </c>
      <c r="BM150" s="578">
        <v>0</v>
      </c>
      <c r="BN150" s="578">
        <v>0</v>
      </c>
      <c r="BO150" s="578">
        <v>10000</v>
      </c>
      <c r="BP150" s="578">
        <v>0</v>
      </c>
      <c r="BQ150" s="578">
        <v>6343.25</v>
      </c>
      <c r="BR150" s="578">
        <v>0</v>
      </c>
      <c r="BS150" s="578">
        <v>3567</v>
      </c>
      <c r="BT150" s="578">
        <v>0</v>
      </c>
      <c r="BU150" s="578">
        <v>47784.88</v>
      </c>
      <c r="BV150" s="578">
        <v>14453.17</v>
      </c>
      <c r="BW150" s="578">
        <v>0</v>
      </c>
      <c r="BX150" s="578">
        <v>0</v>
      </c>
      <c r="BY150" s="578">
        <v>0</v>
      </c>
      <c r="BZ150" s="578">
        <v>2295374.0699999998</v>
      </c>
      <c r="CA150" s="578">
        <v>2270824.85</v>
      </c>
      <c r="CB150" s="578">
        <v>8668.75</v>
      </c>
      <c r="CC150" s="578">
        <v>9910.25</v>
      </c>
      <c r="CD150" s="578">
        <v>62238.05</v>
      </c>
    </row>
    <row r="151" spans="1:82" hidden="1" x14ac:dyDescent="0.3">
      <c r="A151" s="574" t="s">
        <v>1736</v>
      </c>
      <c r="B151" s="577">
        <v>3303411</v>
      </c>
      <c r="C151" s="574">
        <f>_xlfn.XLOOKUP(B151,'[1]Blade-Export_15-08-2022_sources'!B:B,'[1]Blade-Export_15-08-2022_sources'!F:F,0,FALSE)</f>
        <v>330</v>
      </c>
      <c r="D151" s="574">
        <f>_xlfn.XLOOKUP($B151,'[1]Blade-Export_15-08-2022_sources'!$B:$B,'[1]Blade-Export_15-08-2022_sources'!G:G,0,FALSE)</f>
        <v>3411</v>
      </c>
      <c r="E151" s="574" t="str">
        <f>_xlfn.XLOOKUP($B151,'[1]Blade-Export_15-08-2022_sources'!$B:$B,'[1]Blade-Export_15-08-2022_sources'!H:H,0,FALSE)</f>
        <v>HOLLY HILL I NC</v>
      </c>
      <c r="F151" s="578">
        <v>188247.2</v>
      </c>
      <c r="G151" s="578">
        <v>0</v>
      </c>
      <c r="H151" s="578">
        <v>0</v>
      </c>
      <c r="I151" s="578">
        <v>1072995.48</v>
      </c>
      <c r="J151" s="578">
        <v>0</v>
      </c>
      <c r="K151" s="578">
        <v>99140.69</v>
      </c>
      <c r="L151" s="578">
        <v>0</v>
      </c>
      <c r="M151" s="578">
        <v>138845</v>
      </c>
      <c r="N151" s="578">
        <v>2598.75</v>
      </c>
      <c r="O151" s="578">
        <v>0</v>
      </c>
      <c r="P151" s="578">
        <v>0</v>
      </c>
      <c r="Q151" s="578">
        <v>158.33000000000001</v>
      </c>
      <c r="R151" s="578">
        <v>0</v>
      </c>
      <c r="S151" s="578">
        <v>0</v>
      </c>
      <c r="T151" s="578">
        <v>0</v>
      </c>
      <c r="U151" s="578">
        <v>25</v>
      </c>
      <c r="V151" s="578">
        <v>0</v>
      </c>
      <c r="W151" s="578"/>
      <c r="X151" s="578">
        <v>0</v>
      </c>
      <c r="Y151" s="578">
        <v>0</v>
      </c>
      <c r="Z151" s="578">
        <v>0</v>
      </c>
      <c r="AA151" s="578">
        <v>0</v>
      </c>
      <c r="AB151" s="578">
        <v>10066.25</v>
      </c>
      <c r="AC151" s="578">
        <v>5560</v>
      </c>
      <c r="AD151" s="578">
        <v>41406</v>
      </c>
      <c r="AE151" s="578">
        <v>535723.93000000005</v>
      </c>
      <c r="AF151" s="578">
        <v>0</v>
      </c>
      <c r="AG151" s="578">
        <v>321504.49</v>
      </c>
      <c r="AH151" s="578">
        <v>17864.46</v>
      </c>
      <c r="AI151" s="578">
        <v>103692.17</v>
      </c>
      <c r="AJ151" s="578">
        <v>63551.33</v>
      </c>
      <c r="AK151" s="578">
        <v>40823.599999999999</v>
      </c>
      <c r="AL151" s="578">
        <v>674.64</v>
      </c>
      <c r="AM151" s="578">
        <v>1486</v>
      </c>
      <c r="AN151" s="578">
        <v>0</v>
      </c>
      <c r="AO151" s="578">
        <v>0</v>
      </c>
      <c r="AP151" s="578">
        <v>43653.57</v>
      </c>
      <c r="AQ151" s="578">
        <v>4261.87</v>
      </c>
      <c r="AR151" s="578">
        <v>3432.51</v>
      </c>
      <c r="AS151" s="578">
        <v>4488.08</v>
      </c>
      <c r="AT151" s="578">
        <v>16813.009999999998</v>
      </c>
      <c r="AU151" s="578">
        <v>3807.74</v>
      </c>
      <c r="AV151" s="578">
        <v>2558.09</v>
      </c>
      <c r="AW151" s="578">
        <v>43591.28</v>
      </c>
      <c r="AX151" s="578">
        <v>4150.75</v>
      </c>
      <c r="AY151" s="578">
        <v>0</v>
      </c>
      <c r="AZ151" s="578">
        <v>13911.42</v>
      </c>
      <c r="BA151" s="578">
        <v>4450</v>
      </c>
      <c r="BB151" s="578">
        <v>0</v>
      </c>
      <c r="BC151" s="578">
        <v>34253.85</v>
      </c>
      <c r="BD151" s="578">
        <v>9012.15</v>
      </c>
      <c r="BE151" s="578">
        <v>0</v>
      </c>
      <c r="BF151" s="578">
        <v>172083.66</v>
      </c>
      <c r="BG151" s="578">
        <v>0</v>
      </c>
      <c r="BH151" s="578">
        <v>0</v>
      </c>
      <c r="BI151" s="578">
        <v>0</v>
      </c>
      <c r="BJ151" s="578">
        <v>0</v>
      </c>
      <c r="BK151" s="578">
        <v>0</v>
      </c>
      <c r="BL151" s="578">
        <v>0</v>
      </c>
      <c r="BM151" s="578">
        <v>0</v>
      </c>
      <c r="BN151" s="578">
        <v>0</v>
      </c>
      <c r="BO151" s="578">
        <v>10000</v>
      </c>
      <c r="BP151" s="578">
        <v>0</v>
      </c>
      <c r="BQ151" s="578">
        <v>0</v>
      </c>
      <c r="BR151" s="578">
        <v>0</v>
      </c>
      <c r="BS151" s="578">
        <v>0</v>
      </c>
      <c r="BT151" s="578">
        <v>0</v>
      </c>
      <c r="BU151" s="578">
        <v>113254.11</v>
      </c>
      <c r="BV151" s="578">
        <v>0</v>
      </c>
      <c r="BW151" s="578">
        <v>0</v>
      </c>
      <c r="BX151" s="578">
        <v>0</v>
      </c>
      <c r="BY151" s="578">
        <v>0</v>
      </c>
      <c r="BZ151" s="578">
        <v>1370795.5</v>
      </c>
      <c r="CA151" s="578">
        <v>1445788.6</v>
      </c>
      <c r="CB151" s="578">
        <v>0</v>
      </c>
      <c r="CC151" s="578">
        <v>0</v>
      </c>
      <c r="CD151" s="578">
        <v>113254.11</v>
      </c>
    </row>
    <row r="152" spans="1:82" hidden="1" x14ac:dyDescent="0.3">
      <c r="A152" s="574" t="s">
        <v>1737</v>
      </c>
      <c r="B152" s="577">
        <v>3302429</v>
      </c>
      <c r="C152" s="574">
        <f>_xlfn.XLOOKUP(B152,'[1]Blade-Export_15-08-2022_sources'!B:B,'[1]Blade-Export_15-08-2022_sources'!F:F,0,FALSE)</f>
        <v>330</v>
      </c>
      <c r="D152" s="574">
        <f>_xlfn.XLOOKUP($B152,'[1]Blade-Export_15-08-2022_sources'!$B:$B,'[1]Blade-Export_15-08-2022_sources'!G:G,0,FALSE)</f>
        <v>2429</v>
      </c>
      <c r="E152" s="574" t="str">
        <f>_xlfn.XLOOKUP($B152,'[1]Blade-Export_15-08-2022_sources'!$B:$B,'[1]Blade-Export_15-08-2022_sources'!H:H,0,FALSE)</f>
        <v>HOLLAND HOUSE I NC</v>
      </c>
      <c r="F152" s="578">
        <v>-45880.09</v>
      </c>
      <c r="G152" s="578">
        <v>0</v>
      </c>
      <c r="H152" s="578">
        <v>20860.95</v>
      </c>
      <c r="I152" s="578">
        <v>936362.45</v>
      </c>
      <c r="J152" s="578">
        <v>0</v>
      </c>
      <c r="K152" s="578">
        <v>76809.77</v>
      </c>
      <c r="L152" s="578">
        <v>0</v>
      </c>
      <c r="M152" s="578">
        <v>52455</v>
      </c>
      <c r="N152" s="578">
        <v>1122.19</v>
      </c>
      <c r="O152" s="578">
        <v>0</v>
      </c>
      <c r="P152" s="578">
        <v>18418.59</v>
      </c>
      <c r="Q152" s="578">
        <v>0</v>
      </c>
      <c r="R152" s="578">
        <v>0</v>
      </c>
      <c r="S152" s="578">
        <v>0</v>
      </c>
      <c r="T152" s="578">
        <v>0</v>
      </c>
      <c r="U152" s="578">
        <v>36498.050000000003</v>
      </c>
      <c r="V152" s="578">
        <v>0</v>
      </c>
      <c r="W152" s="578"/>
      <c r="X152" s="578">
        <v>0</v>
      </c>
      <c r="Y152" s="578">
        <v>0</v>
      </c>
      <c r="Z152" s="578">
        <v>0</v>
      </c>
      <c r="AA152" s="578">
        <v>0</v>
      </c>
      <c r="AB152" s="578">
        <v>5149.6899999999996</v>
      </c>
      <c r="AC152" s="578">
        <v>5800</v>
      </c>
      <c r="AD152" s="578">
        <v>74869</v>
      </c>
      <c r="AE152" s="578">
        <v>454101.09</v>
      </c>
      <c r="AF152" s="578">
        <v>0</v>
      </c>
      <c r="AG152" s="578">
        <v>245833.22</v>
      </c>
      <c r="AH152" s="578">
        <v>21051.1</v>
      </c>
      <c r="AI152" s="578">
        <v>65773.34</v>
      </c>
      <c r="AJ152" s="578">
        <v>0</v>
      </c>
      <c r="AK152" s="578">
        <v>69944.820000000007</v>
      </c>
      <c r="AL152" s="578">
        <v>2761.8</v>
      </c>
      <c r="AM152" s="578">
        <v>415</v>
      </c>
      <c r="AN152" s="578">
        <v>0</v>
      </c>
      <c r="AO152" s="578">
        <v>0</v>
      </c>
      <c r="AP152" s="578">
        <v>11302.68</v>
      </c>
      <c r="AQ152" s="578">
        <v>1986.72</v>
      </c>
      <c r="AR152" s="578">
        <v>1660.28</v>
      </c>
      <c r="AS152" s="578">
        <v>4213.2299999999996</v>
      </c>
      <c r="AT152" s="578">
        <v>14173.84</v>
      </c>
      <c r="AU152" s="578">
        <v>15546.35</v>
      </c>
      <c r="AV152" s="578">
        <v>1876.7</v>
      </c>
      <c r="AW152" s="578">
        <v>29973.86</v>
      </c>
      <c r="AX152" s="578">
        <v>20537.54</v>
      </c>
      <c r="AY152" s="578">
        <v>0</v>
      </c>
      <c r="AZ152" s="578">
        <v>7431.7</v>
      </c>
      <c r="BA152" s="578">
        <v>4450</v>
      </c>
      <c r="BB152" s="578">
        <v>0</v>
      </c>
      <c r="BC152" s="578">
        <v>22847.5</v>
      </c>
      <c r="BD152" s="578">
        <v>51054.7</v>
      </c>
      <c r="BE152" s="578">
        <v>2710</v>
      </c>
      <c r="BF152" s="578">
        <v>176881.1</v>
      </c>
      <c r="BG152" s="578">
        <v>0</v>
      </c>
      <c r="BH152" s="578">
        <v>0</v>
      </c>
      <c r="BI152" s="578">
        <v>0</v>
      </c>
      <c r="BJ152" s="578">
        <v>0</v>
      </c>
      <c r="BK152" s="578">
        <v>0</v>
      </c>
      <c r="BL152" s="578">
        <v>6243.25</v>
      </c>
      <c r="BM152" s="578">
        <v>0</v>
      </c>
      <c r="BN152" s="578">
        <v>0</v>
      </c>
      <c r="BO152" s="578">
        <v>10000</v>
      </c>
      <c r="BP152" s="578">
        <v>0</v>
      </c>
      <c r="BQ152" s="578">
        <v>0</v>
      </c>
      <c r="BR152" s="578">
        <v>0</v>
      </c>
      <c r="BS152" s="578">
        <v>0</v>
      </c>
      <c r="BT152" s="578">
        <v>0</v>
      </c>
      <c r="BU152" s="578">
        <v>-64921.93</v>
      </c>
      <c r="BV152" s="578">
        <v>27104.2</v>
      </c>
      <c r="BW152" s="578">
        <v>0</v>
      </c>
      <c r="BX152" s="578">
        <v>0</v>
      </c>
      <c r="BY152" s="578">
        <v>0</v>
      </c>
      <c r="BZ152" s="578">
        <v>1207484.74</v>
      </c>
      <c r="CA152" s="578">
        <v>1226526.57</v>
      </c>
      <c r="CB152" s="578">
        <v>6243.25</v>
      </c>
      <c r="CC152" s="578">
        <v>0</v>
      </c>
      <c r="CD152" s="578">
        <v>-37817.730000000003</v>
      </c>
    </row>
    <row r="153" spans="1:82" hidden="1" x14ac:dyDescent="0.3">
      <c r="A153" s="574" t="s">
        <v>1738</v>
      </c>
      <c r="B153" s="577">
        <v>3304201</v>
      </c>
      <c r="C153" s="574">
        <f>_xlfn.XLOOKUP(B153,'[1]Blade-Export_15-08-2022_sources'!B:B,'[1]Blade-Export_15-08-2022_sources'!F:F,0,FALSE)</f>
        <v>330</v>
      </c>
      <c r="D153" s="574">
        <f>_xlfn.XLOOKUP($B153,'[1]Blade-Export_15-08-2022_sources'!$B:$B,'[1]Blade-Export_15-08-2022_sources'!G:G,0,FALSE)</f>
        <v>4201</v>
      </c>
      <c r="E153" s="574" t="str">
        <f>_xlfn.XLOOKUP($B153,'[1]Blade-Export_15-08-2022_sources'!$B:$B,'[1]Blade-Export_15-08-2022_sources'!H:H,0,FALSE)</f>
        <v xml:space="preserve">HODGE HILL Sec </v>
      </c>
      <c r="F153" s="578">
        <v>2567618.83</v>
      </c>
      <c r="G153" s="578">
        <v>0</v>
      </c>
      <c r="H153" s="578">
        <v>67042.11</v>
      </c>
      <c r="I153" s="578">
        <v>7790744.5099999998</v>
      </c>
      <c r="J153" s="578">
        <v>0</v>
      </c>
      <c r="K153" s="578">
        <v>11559.33</v>
      </c>
      <c r="L153" s="578">
        <v>0</v>
      </c>
      <c r="M153" s="578">
        <v>566923.43999999994</v>
      </c>
      <c r="N153" s="578">
        <v>20671.88</v>
      </c>
      <c r="O153" s="578">
        <v>0</v>
      </c>
      <c r="P153" s="578">
        <v>234221.29</v>
      </c>
      <c r="Q153" s="578">
        <v>0</v>
      </c>
      <c r="R153" s="578">
        <v>0</v>
      </c>
      <c r="S153" s="578">
        <v>0</v>
      </c>
      <c r="T153" s="578">
        <v>0</v>
      </c>
      <c r="U153" s="578">
        <v>15081.41</v>
      </c>
      <c r="V153" s="578">
        <v>0</v>
      </c>
      <c r="W153" s="578"/>
      <c r="X153" s="578">
        <v>0</v>
      </c>
      <c r="Y153" s="578">
        <v>0</v>
      </c>
      <c r="Z153" s="578">
        <v>0</v>
      </c>
      <c r="AA153" s="578">
        <v>0</v>
      </c>
      <c r="AB153" s="578">
        <v>89072.13</v>
      </c>
      <c r="AC153" s="578">
        <v>40080</v>
      </c>
      <c r="AD153" s="578">
        <v>0</v>
      </c>
      <c r="AE153" s="578">
        <v>4719741.12</v>
      </c>
      <c r="AF153" s="578">
        <v>0</v>
      </c>
      <c r="AG153" s="578">
        <v>958714.13</v>
      </c>
      <c r="AH153" s="578">
        <v>153140.43</v>
      </c>
      <c r="AI153" s="578">
        <v>526851.68999999994</v>
      </c>
      <c r="AJ153" s="578">
        <v>0</v>
      </c>
      <c r="AK153" s="578">
        <v>0</v>
      </c>
      <c r="AL153" s="578">
        <v>176.5</v>
      </c>
      <c r="AM153" s="578">
        <v>13495.06</v>
      </c>
      <c r="AN153" s="578">
        <v>0</v>
      </c>
      <c r="AO153" s="578">
        <v>0</v>
      </c>
      <c r="AP153" s="578">
        <v>518594.44</v>
      </c>
      <c r="AQ153" s="578">
        <v>21931.27</v>
      </c>
      <c r="AR153" s="578">
        <v>209387.9</v>
      </c>
      <c r="AS153" s="578">
        <v>19875.05</v>
      </c>
      <c r="AT153" s="578">
        <v>120965.68</v>
      </c>
      <c r="AU153" s="578">
        <v>114746.88</v>
      </c>
      <c r="AV153" s="578">
        <v>128330.37</v>
      </c>
      <c r="AW153" s="578">
        <v>495871.66</v>
      </c>
      <c r="AX153" s="578">
        <v>9345.2800000000007</v>
      </c>
      <c r="AY153" s="578">
        <v>154013.42000000001</v>
      </c>
      <c r="AZ153" s="578">
        <v>82624.679999999993</v>
      </c>
      <c r="BA153" s="578">
        <v>30128.27</v>
      </c>
      <c r="BB153" s="578">
        <v>0</v>
      </c>
      <c r="BC153" s="578">
        <v>88850.1</v>
      </c>
      <c r="BD153" s="578">
        <v>63051.82</v>
      </c>
      <c r="BE153" s="578">
        <v>26096</v>
      </c>
      <c r="BF153" s="578">
        <v>452100.47</v>
      </c>
      <c r="BG153" s="578">
        <v>0</v>
      </c>
      <c r="BH153" s="578">
        <v>1021.08</v>
      </c>
      <c r="BI153" s="578">
        <v>472424.22</v>
      </c>
      <c r="BJ153" s="578">
        <v>0</v>
      </c>
      <c r="BK153" s="578">
        <v>0</v>
      </c>
      <c r="BL153" s="578">
        <v>24401.88</v>
      </c>
      <c r="BM153" s="578">
        <v>0</v>
      </c>
      <c r="BN153" s="578">
        <v>0</v>
      </c>
      <c r="BO153" s="578">
        <v>10000</v>
      </c>
      <c r="BP153" s="578">
        <v>0</v>
      </c>
      <c r="BQ153" s="578">
        <v>0</v>
      </c>
      <c r="BR153" s="578">
        <v>0</v>
      </c>
      <c r="BS153" s="578">
        <v>0</v>
      </c>
      <c r="BT153" s="578">
        <v>0</v>
      </c>
      <c r="BU153" s="578">
        <v>1954495.29</v>
      </c>
      <c r="BV153" s="578">
        <v>91443.99</v>
      </c>
      <c r="BW153" s="578">
        <v>0</v>
      </c>
      <c r="BX153" s="578">
        <v>0</v>
      </c>
      <c r="BY153" s="578">
        <v>0</v>
      </c>
      <c r="BZ153" s="578">
        <v>8768353.9900000002</v>
      </c>
      <c r="CA153" s="578">
        <v>9381477.5199999996</v>
      </c>
      <c r="CB153" s="578">
        <v>24401.88</v>
      </c>
      <c r="CC153" s="578">
        <v>0</v>
      </c>
      <c r="CD153" s="578">
        <v>2045939.28</v>
      </c>
    </row>
    <row r="154" spans="1:82" hidden="1" x14ac:dyDescent="0.3">
      <c r="A154" s="574" t="s">
        <v>1739</v>
      </c>
      <c r="B154" s="577">
        <v>3304015</v>
      </c>
      <c r="C154" s="574">
        <f>_xlfn.XLOOKUP(B154,'[1]Blade-Export_15-08-2022_sources'!B:B,'[1]Blade-Export_15-08-2022_sources'!F:F,0,FALSE)</f>
        <v>330</v>
      </c>
      <c r="D154" s="574">
        <f>_xlfn.XLOOKUP($B154,'[1]Blade-Export_15-08-2022_sources'!$B:$B,'[1]Blade-Export_15-08-2022_sources'!G:G,0,FALSE)</f>
        <v>4015</v>
      </c>
      <c r="E154" s="574" t="str">
        <f>_xlfn.XLOOKUP($B154,'[1]Blade-Export_15-08-2022_sources'!$B:$B,'[1]Blade-Export_15-08-2022_sources'!H:H,0,FALSE)</f>
        <v xml:space="preserve">HODGE HILL GIRLS Sec </v>
      </c>
      <c r="F154" s="578">
        <v>1634271.44</v>
      </c>
      <c r="G154" s="578">
        <v>0</v>
      </c>
      <c r="H154" s="578">
        <v>10914.16</v>
      </c>
      <c r="I154" s="578">
        <v>4639549.96</v>
      </c>
      <c r="J154" s="578">
        <v>0</v>
      </c>
      <c r="K154" s="578">
        <v>64119.56</v>
      </c>
      <c r="L154" s="578">
        <v>0</v>
      </c>
      <c r="M154" s="578">
        <v>306555</v>
      </c>
      <c r="N154" s="578">
        <v>19689.060000000001</v>
      </c>
      <c r="O154" s="578">
        <v>0</v>
      </c>
      <c r="P154" s="578">
        <v>30113.16</v>
      </c>
      <c r="Q154" s="578">
        <v>0</v>
      </c>
      <c r="R154" s="578">
        <v>0</v>
      </c>
      <c r="S154" s="578">
        <v>0</v>
      </c>
      <c r="T154" s="578">
        <v>0</v>
      </c>
      <c r="U154" s="578">
        <v>4457.99</v>
      </c>
      <c r="V154" s="578">
        <v>0</v>
      </c>
      <c r="W154" s="578"/>
      <c r="X154" s="578">
        <v>0</v>
      </c>
      <c r="Y154" s="578">
        <v>0</v>
      </c>
      <c r="Z154" s="578">
        <v>0</v>
      </c>
      <c r="AA154" s="578">
        <v>0</v>
      </c>
      <c r="AB154" s="578">
        <v>59731.56</v>
      </c>
      <c r="AC154" s="578">
        <v>24960</v>
      </c>
      <c r="AD154" s="578">
        <v>0</v>
      </c>
      <c r="AE154" s="578">
        <v>2529309.71</v>
      </c>
      <c r="AF154" s="578">
        <v>0</v>
      </c>
      <c r="AG154" s="578">
        <v>228640.54</v>
      </c>
      <c r="AH154" s="578">
        <v>100892.85</v>
      </c>
      <c r="AI154" s="578">
        <v>686176.64</v>
      </c>
      <c r="AJ154" s="578">
        <v>0</v>
      </c>
      <c r="AK154" s="578">
        <v>13488.89</v>
      </c>
      <c r="AL154" s="578">
        <v>13351.55</v>
      </c>
      <c r="AM154" s="578">
        <v>24156.18</v>
      </c>
      <c r="AN154" s="578">
        <v>0</v>
      </c>
      <c r="AO154" s="578">
        <v>0</v>
      </c>
      <c r="AP154" s="578">
        <v>454571.42</v>
      </c>
      <c r="AQ154" s="578">
        <v>10800</v>
      </c>
      <c r="AR154" s="578">
        <v>104992.16</v>
      </c>
      <c r="AS154" s="578">
        <v>6180</v>
      </c>
      <c r="AT154" s="578">
        <v>49156.5</v>
      </c>
      <c r="AU154" s="578">
        <v>67225.919999999998</v>
      </c>
      <c r="AV154" s="578">
        <v>81049.62</v>
      </c>
      <c r="AW154" s="578">
        <v>150905.81</v>
      </c>
      <c r="AX154" s="578">
        <v>108905.64</v>
      </c>
      <c r="AY154" s="578">
        <v>108003.25</v>
      </c>
      <c r="AZ154" s="578">
        <v>50335.51</v>
      </c>
      <c r="BA154" s="578">
        <v>13510.99</v>
      </c>
      <c r="BB154" s="578">
        <v>0</v>
      </c>
      <c r="BC154" s="578">
        <v>40141.9</v>
      </c>
      <c r="BD154" s="578">
        <v>131903.97</v>
      </c>
      <c r="BE154" s="578">
        <v>28883</v>
      </c>
      <c r="BF154" s="578">
        <v>230628.06</v>
      </c>
      <c r="BG154" s="578">
        <v>0</v>
      </c>
      <c r="BH154" s="578">
        <v>602.95000000000005</v>
      </c>
      <c r="BI154" s="578">
        <v>270504.89</v>
      </c>
      <c r="BJ154" s="578">
        <v>0</v>
      </c>
      <c r="BK154" s="578">
        <v>0</v>
      </c>
      <c r="BL154" s="578">
        <v>16622.5</v>
      </c>
      <c r="BM154" s="578">
        <v>0</v>
      </c>
      <c r="BN154" s="578">
        <v>0</v>
      </c>
      <c r="BO154" s="578">
        <v>10000</v>
      </c>
      <c r="BP154" s="578">
        <v>0</v>
      </c>
      <c r="BQ154" s="578">
        <v>0</v>
      </c>
      <c r="BR154" s="578">
        <v>0</v>
      </c>
      <c r="BS154" s="578">
        <v>0</v>
      </c>
      <c r="BT154" s="578">
        <v>0</v>
      </c>
      <c r="BU154" s="578">
        <v>1279129.79</v>
      </c>
      <c r="BV154" s="578">
        <v>27536.66</v>
      </c>
      <c r="BW154" s="578">
        <v>0</v>
      </c>
      <c r="BX154" s="578">
        <v>0</v>
      </c>
      <c r="BY154" s="578">
        <v>0</v>
      </c>
      <c r="BZ154" s="578">
        <v>5149176.29</v>
      </c>
      <c r="CA154" s="578">
        <v>5504317.9500000002</v>
      </c>
      <c r="CB154" s="578">
        <v>16622.5</v>
      </c>
      <c r="CC154" s="578">
        <v>0</v>
      </c>
      <c r="CD154" s="578">
        <v>1306666.45</v>
      </c>
    </row>
    <row r="155" spans="1:82" hidden="1" x14ac:dyDescent="0.3">
      <c r="A155" s="574" t="s">
        <v>1740</v>
      </c>
      <c r="B155" s="577">
        <v>3302438</v>
      </c>
      <c r="C155" s="574">
        <f>_xlfn.XLOOKUP(B155,'[1]Blade-Export_15-08-2022_sources'!B:B,'[1]Blade-Export_15-08-2022_sources'!F:F,0,FALSE)</f>
        <v>330</v>
      </c>
      <c r="D155" s="574">
        <f>_xlfn.XLOOKUP($B155,'[1]Blade-Export_15-08-2022_sources'!$B:$B,'[1]Blade-Export_15-08-2022_sources'!G:G,0,FALSE)</f>
        <v>2438</v>
      </c>
      <c r="E155" s="574" t="str">
        <f>_xlfn.XLOOKUP($B155,'[1]Blade-Export_15-08-2022_sources'!$B:$B,'[1]Blade-Export_15-08-2022_sources'!H:H,0,FALSE)</f>
        <v xml:space="preserve">HIGHTERS HEATH JI </v>
      </c>
      <c r="F155" s="578">
        <v>248514.82</v>
      </c>
      <c r="G155" s="578">
        <v>0</v>
      </c>
      <c r="H155" s="578">
        <v>4326.38</v>
      </c>
      <c r="I155" s="578">
        <v>1038280.46</v>
      </c>
      <c r="J155" s="578">
        <v>0</v>
      </c>
      <c r="K155" s="578">
        <v>25342.05</v>
      </c>
      <c r="L155" s="578">
        <v>0</v>
      </c>
      <c r="M155" s="578">
        <v>164090</v>
      </c>
      <c r="N155" s="578">
        <v>3839.06</v>
      </c>
      <c r="O155" s="578">
        <v>0</v>
      </c>
      <c r="P155" s="578">
        <v>12139.92</v>
      </c>
      <c r="Q155" s="578">
        <v>347.92</v>
      </c>
      <c r="R155" s="578">
        <v>186.39</v>
      </c>
      <c r="S155" s="578">
        <v>0</v>
      </c>
      <c r="T155" s="578">
        <v>0</v>
      </c>
      <c r="U155" s="578">
        <v>3444.85</v>
      </c>
      <c r="V155" s="578">
        <v>0</v>
      </c>
      <c r="W155" s="578"/>
      <c r="X155" s="578">
        <v>0</v>
      </c>
      <c r="Y155" s="578">
        <v>0</v>
      </c>
      <c r="Z155" s="578">
        <v>0</v>
      </c>
      <c r="AA155" s="578">
        <v>0</v>
      </c>
      <c r="AB155" s="578">
        <v>12684.06</v>
      </c>
      <c r="AC155" s="578">
        <v>6400</v>
      </c>
      <c r="AD155" s="578">
        <v>24962</v>
      </c>
      <c r="AE155" s="578">
        <v>597583.02</v>
      </c>
      <c r="AF155" s="578">
        <v>0</v>
      </c>
      <c r="AG155" s="578">
        <v>216353.19</v>
      </c>
      <c r="AH155" s="578">
        <v>76535.59</v>
      </c>
      <c r="AI155" s="578">
        <v>46383.27</v>
      </c>
      <c r="AJ155" s="578">
        <v>0</v>
      </c>
      <c r="AK155" s="578">
        <v>49601.22</v>
      </c>
      <c r="AL155" s="578">
        <v>1054.5</v>
      </c>
      <c r="AM155" s="578">
        <v>2805</v>
      </c>
      <c r="AN155" s="578">
        <v>5251.65</v>
      </c>
      <c r="AO155" s="578">
        <v>0</v>
      </c>
      <c r="AP155" s="578">
        <v>8371.49</v>
      </c>
      <c r="AQ155" s="578">
        <v>1057.54</v>
      </c>
      <c r="AR155" s="578">
        <v>1489.79</v>
      </c>
      <c r="AS155" s="578">
        <v>2772.87</v>
      </c>
      <c r="AT155" s="578">
        <v>17133.59</v>
      </c>
      <c r="AU155" s="578">
        <v>15044.85</v>
      </c>
      <c r="AV155" s="578">
        <v>5723.73</v>
      </c>
      <c r="AW155" s="578">
        <v>45068.36</v>
      </c>
      <c r="AX155" s="578">
        <v>3810.95</v>
      </c>
      <c r="AY155" s="578">
        <v>0</v>
      </c>
      <c r="AZ155" s="578">
        <v>25797.25</v>
      </c>
      <c r="BA155" s="578">
        <v>4450</v>
      </c>
      <c r="BB155" s="578">
        <v>0</v>
      </c>
      <c r="BC155" s="578">
        <v>20851.599999999999</v>
      </c>
      <c r="BD155" s="578">
        <v>12185.13</v>
      </c>
      <c r="BE155" s="578">
        <v>1304.55</v>
      </c>
      <c r="BF155" s="578">
        <v>107696.15</v>
      </c>
      <c r="BG155" s="578">
        <v>0</v>
      </c>
      <c r="BH155" s="578">
        <v>0</v>
      </c>
      <c r="BI155" s="578">
        <v>0</v>
      </c>
      <c r="BJ155" s="578">
        <v>0</v>
      </c>
      <c r="BK155" s="578">
        <v>0</v>
      </c>
      <c r="BL155" s="578">
        <v>6266.88</v>
      </c>
      <c r="BM155" s="578">
        <v>0</v>
      </c>
      <c r="BN155" s="578">
        <v>0</v>
      </c>
      <c r="BO155" s="578">
        <v>10000</v>
      </c>
      <c r="BP155" s="578">
        <v>0</v>
      </c>
      <c r="BQ155" s="578">
        <v>2188.42</v>
      </c>
      <c r="BR155" s="578">
        <v>742.82</v>
      </c>
      <c r="BS155" s="578">
        <v>0</v>
      </c>
      <c r="BT155" s="578">
        <v>0</v>
      </c>
      <c r="BU155" s="578">
        <v>271906.25</v>
      </c>
      <c r="BV155" s="578">
        <v>7662.02</v>
      </c>
      <c r="BW155" s="578">
        <v>0</v>
      </c>
      <c r="BX155" s="578">
        <v>0</v>
      </c>
      <c r="BY155" s="578">
        <v>0</v>
      </c>
      <c r="BZ155" s="578">
        <v>1291716.71</v>
      </c>
      <c r="CA155" s="578">
        <v>1268325.29</v>
      </c>
      <c r="CB155" s="578">
        <v>6266.88</v>
      </c>
      <c r="CC155" s="578">
        <v>2931.24</v>
      </c>
      <c r="CD155" s="578">
        <v>279568.27</v>
      </c>
    </row>
    <row r="156" spans="1:82" hidden="1" x14ac:dyDescent="0.3">
      <c r="A156" s="574" t="s">
        <v>1741</v>
      </c>
      <c r="B156" s="577">
        <v>3301021</v>
      </c>
      <c r="C156" s="574">
        <f>_xlfn.XLOOKUP(B156,'[1]Blade-Export_15-08-2022_sources'!B:B,'[1]Blade-Export_15-08-2022_sources'!F:F,0,FALSE)</f>
        <v>330</v>
      </c>
      <c r="D156" s="574">
        <f>_xlfn.XLOOKUP($B156,'[1]Blade-Export_15-08-2022_sources'!$B:$B,'[1]Blade-Export_15-08-2022_sources'!G:G,0,FALSE)</f>
        <v>1021</v>
      </c>
      <c r="E156" s="574" t="str">
        <f>_xlfn.XLOOKUP($B156,'[1]Blade-Export_15-08-2022_sources'!$B:$B,'[1]Blade-Export_15-08-2022_sources'!H:H,0,FALSE)</f>
        <v>HIGHTERS HEATH Nurs</v>
      </c>
      <c r="F156" s="578">
        <v>22587.21</v>
      </c>
      <c r="G156" s="578">
        <v>0</v>
      </c>
      <c r="H156" s="578">
        <v>903.06</v>
      </c>
      <c r="I156" s="578">
        <v>276144.32</v>
      </c>
      <c r="J156" s="578">
        <v>0</v>
      </c>
      <c r="K156" s="578">
        <v>4000</v>
      </c>
      <c r="L156" s="578">
        <v>0</v>
      </c>
      <c r="M156" s="578">
        <v>0</v>
      </c>
      <c r="N156" s="578">
        <v>0</v>
      </c>
      <c r="O156" s="578">
        <v>0</v>
      </c>
      <c r="P156" s="578">
        <v>73297.09</v>
      </c>
      <c r="Q156" s="578">
        <v>31.62</v>
      </c>
      <c r="R156" s="578">
        <v>0</v>
      </c>
      <c r="S156" s="578">
        <v>0</v>
      </c>
      <c r="T156" s="578">
        <v>0</v>
      </c>
      <c r="U156" s="578">
        <v>3354</v>
      </c>
      <c r="V156" s="578">
        <v>0</v>
      </c>
      <c r="W156" s="578"/>
      <c r="X156" s="578">
        <v>0</v>
      </c>
      <c r="Y156" s="578">
        <v>0</v>
      </c>
      <c r="Z156" s="578">
        <v>0</v>
      </c>
      <c r="AA156" s="578">
        <v>0</v>
      </c>
      <c r="AB156" s="578">
        <v>0</v>
      </c>
      <c r="AC156" s="578">
        <v>0</v>
      </c>
      <c r="AD156" s="578">
        <v>0</v>
      </c>
      <c r="AE156" s="578">
        <v>116154.58</v>
      </c>
      <c r="AF156" s="578">
        <v>0</v>
      </c>
      <c r="AG156" s="578">
        <v>80204.62</v>
      </c>
      <c r="AH156" s="578">
        <v>13257.93</v>
      </c>
      <c r="AI156" s="578">
        <v>21254.38</v>
      </c>
      <c r="AJ156" s="578">
        <v>0</v>
      </c>
      <c r="AK156" s="578">
        <v>12949.41</v>
      </c>
      <c r="AL156" s="578">
        <v>206.3</v>
      </c>
      <c r="AM156" s="578">
        <v>1823</v>
      </c>
      <c r="AN156" s="578">
        <v>0</v>
      </c>
      <c r="AO156" s="578">
        <v>0</v>
      </c>
      <c r="AP156" s="578">
        <v>4496.57</v>
      </c>
      <c r="AQ156" s="578">
        <v>0</v>
      </c>
      <c r="AR156" s="578">
        <v>8765.02</v>
      </c>
      <c r="AS156" s="578">
        <v>1691.44</v>
      </c>
      <c r="AT156" s="578">
        <v>7880.03</v>
      </c>
      <c r="AU156" s="578">
        <v>1821.35</v>
      </c>
      <c r="AV156" s="578">
        <v>1785.08</v>
      </c>
      <c r="AW156" s="578">
        <v>16553.099999999999</v>
      </c>
      <c r="AX156" s="578">
        <v>928.03</v>
      </c>
      <c r="AY156" s="578">
        <v>0</v>
      </c>
      <c r="AZ156" s="578">
        <v>3015.72</v>
      </c>
      <c r="BA156" s="578">
        <v>2850</v>
      </c>
      <c r="BB156" s="578">
        <v>0</v>
      </c>
      <c r="BC156" s="578">
        <v>2636.65</v>
      </c>
      <c r="BD156" s="578">
        <v>18986.87</v>
      </c>
      <c r="BE156" s="578">
        <v>995</v>
      </c>
      <c r="BF156" s="578">
        <v>17988.64</v>
      </c>
      <c r="BG156" s="578">
        <v>0</v>
      </c>
      <c r="BH156" s="578">
        <v>0</v>
      </c>
      <c r="BI156" s="578">
        <v>0</v>
      </c>
      <c r="BJ156" s="578">
        <v>0</v>
      </c>
      <c r="BK156" s="578">
        <v>0</v>
      </c>
      <c r="BL156" s="578">
        <v>4526.5</v>
      </c>
      <c r="BM156" s="578">
        <v>0</v>
      </c>
      <c r="BN156" s="578">
        <v>0</v>
      </c>
      <c r="BO156" s="578">
        <v>10000</v>
      </c>
      <c r="BP156" s="578">
        <v>0</v>
      </c>
      <c r="BQ156" s="578">
        <v>0</v>
      </c>
      <c r="BR156" s="578">
        <v>0</v>
      </c>
      <c r="BS156" s="578">
        <v>0</v>
      </c>
      <c r="BT156" s="578">
        <v>0</v>
      </c>
      <c r="BU156" s="578">
        <v>43170.52</v>
      </c>
      <c r="BV156" s="578">
        <v>5429.56</v>
      </c>
      <c r="BW156" s="578">
        <v>0</v>
      </c>
      <c r="BX156" s="578">
        <v>0</v>
      </c>
      <c r="BY156" s="578">
        <v>0</v>
      </c>
      <c r="BZ156" s="578">
        <v>356827.03</v>
      </c>
      <c r="CA156" s="578">
        <v>336243.72</v>
      </c>
      <c r="CB156" s="578">
        <v>4526.5</v>
      </c>
      <c r="CC156" s="578">
        <v>0</v>
      </c>
      <c r="CD156" s="578">
        <v>48600.08</v>
      </c>
    </row>
    <row r="157" spans="1:82" hidden="1" x14ac:dyDescent="0.3">
      <c r="A157" s="574" t="s">
        <v>1742</v>
      </c>
      <c r="B157" s="577">
        <v>3301010</v>
      </c>
      <c r="C157" s="574">
        <f>_xlfn.XLOOKUP(B157,'[1]Blade-Export_15-08-2022_sources'!B:B,'[1]Blade-Export_15-08-2022_sources'!F:F,0,FALSE)</f>
        <v>330</v>
      </c>
      <c r="D157" s="574">
        <f>_xlfn.XLOOKUP($B157,'[1]Blade-Export_15-08-2022_sources'!$B:$B,'[1]Blade-Export_15-08-2022_sources'!G:G,0,FALSE)</f>
        <v>1010</v>
      </c>
      <c r="E157" s="574" t="str">
        <f>_xlfn.XLOOKUP($B157,'[1]Blade-Export_15-08-2022_sources'!$B:$B,'[1]Blade-Export_15-08-2022_sources'!H:H,0,FALSE)</f>
        <v>HIGHFIELD Nurs</v>
      </c>
      <c r="F157" s="578">
        <v>466752.23</v>
      </c>
      <c r="G157" s="578">
        <v>0</v>
      </c>
      <c r="H157" s="578">
        <v>20561.97</v>
      </c>
      <c r="I157" s="578">
        <v>689555.9</v>
      </c>
      <c r="J157" s="578">
        <v>0</v>
      </c>
      <c r="K157" s="578">
        <v>4675.12</v>
      </c>
      <c r="L157" s="578">
        <v>0</v>
      </c>
      <c r="M157" s="578">
        <v>0</v>
      </c>
      <c r="N157" s="578">
        <v>0</v>
      </c>
      <c r="O157" s="578">
        <v>0</v>
      </c>
      <c r="P157" s="578">
        <v>154940.96</v>
      </c>
      <c r="Q157" s="578">
        <v>653.45000000000005</v>
      </c>
      <c r="R157" s="578">
        <v>0</v>
      </c>
      <c r="S157" s="578">
        <v>0</v>
      </c>
      <c r="T157" s="578">
        <v>0</v>
      </c>
      <c r="U157" s="578">
        <v>3008.51</v>
      </c>
      <c r="V157" s="578">
        <v>0</v>
      </c>
      <c r="W157" s="578"/>
      <c r="X157" s="578">
        <v>0</v>
      </c>
      <c r="Y157" s="578">
        <v>0</v>
      </c>
      <c r="Z157" s="578">
        <v>0</v>
      </c>
      <c r="AA157" s="578">
        <v>0</v>
      </c>
      <c r="AB157" s="578">
        <v>0</v>
      </c>
      <c r="AC157" s="578">
        <v>0</v>
      </c>
      <c r="AD157" s="578">
        <v>0</v>
      </c>
      <c r="AE157" s="578">
        <v>290387.07</v>
      </c>
      <c r="AF157" s="578">
        <v>0</v>
      </c>
      <c r="AG157" s="578">
        <v>203459.14</v>
      </c>
      <c r="AH157" s="578">
        <v>0</v>
      </c>
      <c r="AI157" s="578">
        <v>50874.18</v>
      </c>
      <c r="AJ157" s="578">
        <v>0</v>
      </c>
      <c r="AK157" s="578">
        <v>0</v>
      </c>
      <c r="AL157" s="578">
        <v>4979.6099999999997</v>
      </c>
      <c r="AM157" s="578">
        <v>6790</v>
      </c>
      <c r="AN157" s="578">
        <v>0</v>
      </c>
      <c r="AO157" s="578">
        <v>0</v>
      </c>
      <c r="AP157" s="578">
        <v>11699.97</v>
      </c>
      <c r="AQ157" s="578">
        <v>1845</v>
      </c>
      <c r="AR157" s="578">
        <v>891.27</v>
      </c>
      <c r="AS157" s="578">
        <v>0</v>
      </c>
      <c r="AT157" s="578">
        <v>0</v>
      </c>
      <c r="AU157" s="578">
        <v>6775.2</v>
      </c>
      <c r="AV157" s="578">
        <v>3286.65</v>
      </c>
      <c r="AW157" s="578">
        <v>31964.33</v>
      </c>
      <c r="AX157" s="578">
        <v>1658.04</v>
      </c>
      <c r="AY157" s="578">
        <v>0</v>
      </c>
      <c r="AZ157" s="578">
        <v>5000</v>
      </c>
      <c r="BA157" s="578">
        <v>2850</v>
      </c>
      <c r="BB157" s="578">
        <v>0</v>
      </c>
      <c r="BC157" s="578">
        <v>4268.9399999999996</v>
      </c>
      <c r="BD157" s="578">
        <v>0</v>
      </c>
      <c r="BE157" s="578">
        <v>4906.07</v>
      </c>
      <c r="BF157" s="578">
        <v>148649.38</v>
      </c>
      <c r="BG157" s="578">
        <v>0</v>
      </c>
      <c r="BH157" s="578">
        <v>0</v>
      </c>
      <c r="BI157" s="578">
        <v>0</v>
      </c>
      <c r="BJ157" s="578">
        <v>0</v>
      </c>
      <c r="BK157" s="578">
        <v>0</v>
      </c>
      <c r="BL157" s="578">
        <v>5262.25</v>
      </c>
      <c r="BM157" s="578">
        <v>0</v>
      </c>
      <c r="BN157" s="578">
        <v>0</v>
      </c>
      <c r="BO157" s="578">
        <v>10000</v>
      </c>
      <c r="BP157" s="578">
        <v>0</v>
      </c>
      <c r="BQ157" s="578">
        <v>2132.4</v>
      </c>
      <c r="BR157" s="578">
        <v>0</v>
      </c>
      <c r="BS157" s="578">
        <v>0</v>
      </c>
      <c r="BT157" s="578">
        <v>0</v>
      </c>
      <c r="BU157" s="578">
        <v>539301.31000000006</v>
      </c>
      <c r="BV157" s="578">
        <v>23691.82</v>
      </c>
      <c r="BW157" s="578">
        <v>0</v>
      </c>
      <c r="BX157" s="578">
        <v>0</v>
      </c>
      <c r="BY157" s="578">
        <v>0</v>
      </c>
      <c r="BZ157" s="578">
        <v>852833.94</v>
      </c>
      <c r="CA157" s="578">
        <v>780284.85</v>
      </c>
      <c r="CB157" s="578">
        <v>5262.25</v>
      </c>
      <c r="CC157" s="578">
        <v>2132.4</v>
      </c>
      <c r="CD157" s="578">
        <v>562993.13</v>
      </c>
    </row>
    <row r="158" spans="1:82" hidden="1" x14ac:dyDescent="0.3">
      <c r="A158" s="574" t="s">
        <v>1743</v>
      </c>
      <c r="B158" s="577">
        <v>3302313</v>
      </c>
      <c r="C158" s="574">
        <f>_xlfn.XLOOKUP(B158,'[1]Blade-Export_15-08-2022_sources'!B:B,'[1]Blade-Export_15-08-2022_sources'!F:F,0,FALSE)</f>
        <v>330</v>
      </c>
      <c r="D158" s="574">
        <f>_xlfn.XLOOKUP($B158,'[1]Blade-Export_15-08-2022_sources'!$B:$B,'[1]Blade-Export_15-08-2022_sources'!G:G,0,FALSE)</f>
        <v>2313</v>
      </c>
      <c r="E158" s="574" t="str">
        <f>_xlfn.XLOOKUP($B158,'[1]Blade-Export_15-08-2022_sources'!$B:$B,'[1]Blade-Export_15-08-2022_sources'!H:H,0,FALSE)</f>
        <v xml:space="preserve">HEATH MOUNT JI </v>
      </c>
      <c r="F158" s="578">
        <v>141690.79999999999</v>
      </c>
      <c r="G158" s="578">
        <v>0</v>
      </c>
      <c r="H158" s="578">
        <v>3175.88</v>
      </c>
      <c r="I158" s="578">
        <v>1860871.65</v>
      </c>
      <c r="J158" s="578">
        <v>0</v>
      </c>
      <c r="K158" s="578">
        <v>55369.42</v>
      </c>
      <c r="L158" s="578">
        <v>0</v>
      </c>
      <c r="M158" s="578">
        <v>258240</v>
      </c>
      <c r="N158" s="578">
        <v>6437.81</v>
      </c>
      <c r="O158" s="578">
        <v>0</v>
      </c>
      <c r="P158" s="578">
        <v>17821.330000000002</v>
      </c>
      <c r="Q158" s="578">
        <v>198.37</v>
      </c>
      <c r="R158" s="578">
        <v>0</v>
      </c>
      <c r="S158" s="578">
        <v>0</v>
      </c>
      <c r="T158" s="578">
        <v>0</v>
      </c>
      <c r="U158" s="578">
        <v>61</v>
      </c>
      <c r="V158" s="578">
        <v>0</v>
      </c>
      <c r="W158" s="578"/>
      <c r="X158" s="578">
        <v>0</v>
      </c>
      <c r="Y158" s="578">
        <v>0</v>
      </c>
      <c r="Z158" s="578">
        <v>0</v>
      </c>
      <c r="AA158" s="578">
        <v>0</v>
      </c>
      <c r="AB158" s="578">
        <v>21557.81</v>
      </c>
      <c r="AC158" s="578">
        <v>11930</v>
      </c>
      <c r="AD158" s="578">
        <v>53024</v>
      </c>
      <c r="AE158" s="578">
        <v>889460.49</v>
      </c>
      <c r="AF158" s="578">
        <v>0</v>
      </c>
      <c r="AG158" s="578">
        <v>355692.21</v>
      </c>
      <c r="AH158" s="578">
        <v>64057.11</v>
      </c>
      <c r="AI158" s="578">
        <v>128890.51</v>
      </c>
      <c r="AJ158" s="578">
        <v>0</v>
      </c>
      <c r="AK158" s="578">
        <v>75934</v>
      </c>
      <c r="AL158" s="578">
        <v>3160.14</v>
      </c>
      <c r="AM158" s="578">
        <v>23982.83</v>
      </c>
      <c r="AN158" s="578">
        <v>0</v>
      </c>
      <c r="AO158" s="578">
        <v>0</v>
      </c>
      <c r="AP158" s="578">
        <v>30554.75</v>
      </c>
      <c r="AQ158" s="578">
        <v>3900</v>
      </c>
      <c r="AR158" s="578">
        <v>6526.11</v>
      </c>
      <c r="AS158" s="578">
        <v>5951.56</v>
      </c>
      <c r="AT158" s="578">
        <v>31882.080000000002</v>
      </c>
      <c r="AU158" s="578">
        <v>32667.13</v>
      </c>
      <c r="AV158" s="578">
        <v>4800.5</v>
      </c>
      <c r="AW158" s="578">
        <v>112147.45</v>
      </c>
      <c r="AX158" s="578">
        <v>14141.47</v>
      </c>
      <c r="AY158" s="578">
        <v>0</v>
      </c>
      <c r="AZ158" s="578">
        <v>75848.91</v>
      </c>
      <c r="BA158" s="578">
        <v>8200</v>
      </c>
      <c r="BB158" s="578">
        <v>0</v>
      </c>
      <c r="BC158" s="578">
        <v>142099.1</v>
      </c>
      <c r="BD158" s="578">
        <v>147356.68</v>
      </c>
      <c r="BE158" s="578">
        <v>1316.82</v>
      </c>
      <c r="BF158" s="578">
        <v>112528.14</v>
      </c>
      <c r="BG158" s="578">
        <v>0</v>
      </c>
      <c r="BH158" s="578">
        <v>0</v>
      </c>
      <c r="BI158" s="578">
        <v>0</v>
      </c>
      <c r="BJ158" s="578">
        <v>0</v>
      </c>
      <c r="BK158" s="578">
        <v>0</v>
      </c>
      <c r="BL158" s="578">
        <v>8027.5</v>
      </c>
      <c r="BM158" s="578">
        <v>0</v>
      </c>
      <c r="BN158" s="578">
        <v>0</v>
      </c>
      <c r="BO158" s="578">
        <v>10000</v>
      </c>
      <c r="BP158" s="578">
        <v>0</v>
      </c>
      <c r="BQ158" s="578">
        <v>0</v>
      </c>
      <c r="BR158" s="578">
        <v>0</v>
      </c>
      <c r="BS158" s="578">
        <v>0</v>
      </c>
      <c r="BT158" s="578">
        <v>0</v>
      </c>
      <c r="BU158" s="578">
        <v>156104.21</v>
      </c>
      <c r="BV158" s="578">
        <v>11203.38</v>
      </c>
      <c r="BW158" s="578">
        <v>0</v>
      </c>
      <c r="BX158" s="578">
        <v>0</v>
      </c>
      <c r="BY158" s="578">
        <v>0</v>
      </c>
      <c r="BZ158" s="578">
        <v>2285511.39</v>
      </c>
      <c r="CA158" s="578">
        <v>2271097.9900000002</v>
      </c>
      <c r="CB158" s="578">
        <v>8027.5</v>
      </c>
      <c r="CC158" s="578">
        <v>0</v>
      </c>
      <c r="CD158" s="578">
        <v>167307.59</v>
      </c>
    </row>
    <row r="159" spans="1:82" hidden="1" x14ac:dyDescent="0.3">
      <c r="A159" s="574" t="s">
        <v>1744</v>
      </c>
      <c r="B159" s="577">
        <v>3302099</v>
      </c>
      <c r="C159" s="574">
        <f>_xlfn.XLOOKUP(B159,'[1]Blade-Export_15-08-2022_sources'!B:B,'[1]Blade-Export_15-08-2022_sources'!F:F,0,FALSE)</f>
        <v>330</v>
      </c>
      <c r="D159" s="574">
        <f>_xlfn.XLOOKUP($B159,'[1]Blade-Export_15-08-2022_sources'!$B:$B,'[1]Blade-Export_15-08-2022_sources'!G:G,0,FALSE)</f>
        <v>2099</v>
      </c>
      <c r="E159" s="574" t="str">
        <f>_xlfn.XLOOKUP($B159,'[1]Blade-Export_15-08-2022_sources'!$B:$B,'[1]Blade-Export_15-08-2022_sources'!H:H,0,FALSE)</f>
        <v xml:space="preserve">HAWTHORN JI </v>
      </c>
      <c r="F159" s="578">
        <v>164862.18</v>
      </c>
      <c r="G159" s="578">
        <v>0</v>
      </c>
      <c r="H159" s="578">
        <v>6621.25</v>
      </c>
      <c r="I159" s="578">
        <v>1320715.77</v>
      </c>
      <c r="J159" s="578">
        <v>0</v>
      </c>
      <c r="K159" s="578">
        <v>185122.33</v>
      </c>
      <c r="L159" s="578">
        <v>0</v>
      </c>
      <c r="M159" s="578">
        <v>182230</v>
      </c>
      <c r="N159" s="578">
        <v>5072.8100000000004</v>
      </c>
      <c r="O159" s="578">
        <v>0</v>
      </c>
      <c r="P159" s="578">
        <v>0</v>
      </c>
      <c r="Q159" s="578">
        <v>230.81</v>
      </c>
      <c r="R159" s="578">
        <v>0</v>
      </c>
      <c r="S159" s="578">
        <v>0</v>
      </c>
      <c r="T159" s="578">
        <v>0</v>
      </c>
      <c r="U159" s="578">
        <v>1305</v>
      </c>
      <c r="V159" s="578">
        <v>0</v>
      </c>
      <c r="W159" s="578"/>
      <c r="X159" s="578">
        <v>0</v>
      </c>
      <c r="Y159" s="578">
        <v>0</v>
      </c>
      <c r="Z159" s="578">
        <v>0</v>
      </c>
      <c r="AA159" s="578">
        <v>0</v>
      </c>
      <c r="AB159" s="578">
        <v>17114.310000000001</v>
      </c>
      <c r="AC159" s="578">
        <v>7900</v>
      </c>
      <c r="AD159" s="578">
        <v>35132</v>
      </c>
      <c r="AE159" s="578">
        <v>710529.23</v>
      </c>
      <c r="AF159" s="578">
        <v>0</v>
      </c>
      <c r="AG159" s="578">
        <v>397965.22</v>
      </c>
      <c r="AH159" s="578">
        <v>43213.52</v>
      </c>
      <c r="AI159" s="578">
        <v>105508.37</v>
      </c>
      <c r="AJ159" s="578">
        <v>0</v>
      </c>
      <c r="AK159" s="578">
        <v>36207.870000000003</v>
      </c>
      <c r="AL159" s="578">
        <v>2393.69</v>
      </c>
      <c r="AM159" s="578">
        <v>15663.5</v>
      </c>
      <c r="AN159" s="578">
        <v>0</v>
      </c>
      <c r="AO159" s="578">
        <v>0</v>
      </c>
      <c r="AP159" s="578">
        <v>40965.51</v>
      </c>
      <c r="AQ159" s="578">
        <v>503.5</v>
      </c>
      <c r="AR159" s="578">
        <v>3240.63</v>
      </c>
      <c r="AS159" s="578">
        <v>2787.07</v>
      </c>
      <c r="AT159" s="578">
        <v>15341.77</v>
      </c>
      <c r="AU159" s="578">
        <v>15420.97</v>
      </c>
      <c r="AV159" s="578">
        <v>4755</v>
      </c>
      <c r="AW159" s="578">
        <v>70284.990000000005</v>
      </c>
      <c r="AX159" s="578">
        <v>22750.84</v>
      </c>
      <c r="AY159" s="578">
        <v>0</v>
      </c>
      <c r="AZ159" s="578">
        <v>9859.4500000000007</v>
      </c>
      <c r="BA159" s="578">
        <v>4450</v>
      </c>
      <c r="BB159" s="578">
        <v>0</v>
      </c>
      <c r="BC159" s="578">
        <v>42023.37</v>
      </c>
      <c r="BD159" s="578">
        <v>47349</v>
      </c>
      <c r="BE159" s="578">
        <v>1257.8900000000001</v>
      </c>
      <c r="BF159" s="578">
        <v>102255.3</v>
      </c>
      <c r="BG159" s="578">
        <v>0</v>
      </c>
      <c r="BH159" s="578">
        <v>0</v>
      </c>
      <c r="BI159" s="578">
        <v>0</v>
      </c>
      <c r="BJ159" s="578">
        <v>0</v>
      </c>
      <c r="BK159" s="578">
        <v>0</v>
      </c>
      <c r="BL159" s="578">
        <v>6622.38</v>
      </c>
      <c r="BM159" s="578">
        <v>0</v>
      </c>
      <c r="BN159" s="578">
        <v>0</v>
      </c>
      <c r="BO159" s="578">
        <v>10000</v>
      </c>
      <c r="BP159" s="578">
        <v>0</v>
      </c>
      <c r="BQ159" s="578">
        <v>3695</v>
      </c>
      <c r="BR159" s="578">
        <v>0</v>
      </c>
      <c r="BS159" s="578">
        <v>0</v>
      </c>
      <c r="BT159" s="578">
        <v>0</v>
      </c>
      <c r="BU159" s="578">
        <v>224958.52</v>
      </c>
      <c r="BV159" s="578">
        <v>9548.6299999999992</v>
      </c>
      <c r="BW159" s="578">
        <v>0</v>
      </c>
      <c r="BX159" s="578">
        <v>0</v>
      </c>
      <c r="BY159" s="578">
        <v>0</v>
      </c>
      <c r="BZ159" s="578">
        <v>1754823.03</v>
      </c>
      <c r="CA159" s="578">
        <v>1694726.69</v>
      </c>
      <c r="CB159" s="578">
        <v>6622.38</v>
      </c>
      <c r="CC159" s="578">
        <v>3695</v>
      </c>
      <c r="CD159" s="578">
        <v>234507.15</v>
      </c>
    </row>
    <row r="160" spans="1:82" hidden="1" x14ac:dyDescent="0.3">
      <c r="A160" s="574" t="s">
        <v>1745</v>
      </c>
      <c r="B160" s="577">
        <v>3302477</v>
      </c>
      <c r="C160" s="574">
        <f>_xlfn.XLOOKUP(B160,'[1]Blade-Export_15-08-2022_sources'!B:B,'[1]Blade-Export_15-08-2022_sources'!F:F,0,FALSE)</f>
        <v>330</v>
      </c>
      <c r="D160" s="574">
        <f>_xlfn.XLOOKUP($B160,'[1]Blade-Export_15-08-2022_sources'!$B:$B,'[1]Blade-Export_15-08-2022_sources'!G:G,0,FALSE)</f>
        <v>2477</v>
      </c>
      <c r="E160" s="574" t="str">
        <f>_xlfn.XLOOKUP($B160,'[1]Blade-Export_15-08-2022_sources'!$B:$B,'[1]Blade-Export_15-08-2022_sources'!H:H,0,FALSE)</f>
        <v xml:space="preserve">HARBORNE JI </v>
      </c>
      <c r="F160" s="578">
        <v>371786.56</v>
      </c>
      <c r="G160" s="578">
        <v>0</v>
      </c>
      <c r="H160" s="578">
        <v>11737.3</v>
      </c>
      <c r="I160" s="578">
        <v>3125091.69</v>
      </c>
      <c r="J160" s="578">
        <v>0</v>
      </c>
      <c r="K160" s="578">
        <v>101720.15</v>
      </c>
      <c r="L160" s="578">
        <v>0</v>
      </c>
      <c r="M160" s="578">
        <v>105355</v>
      </c>
      <c r="N160" s="578">
        <v>2303.44</v>
      </c>
      <c r="O160" s="578">
        <v>0</v>
      </c>
      <c r="P160" s="578">
        <v>91170.71</v>
      </c>
      <c r="Q160" s="578">
        <v>422.18</v>
      </c>
      <c r="R160" s="578">
        <v>0</v>
      </c>
      <c r="S160" s="578">
        <v>0</v>
      </c>
      <c r="T160" s="578">
        <v>0</v>
      </c>
      <c r="U160" s="578">
        <v>117140.12</v>
      </c>
      <c r="V160" s="578">
        <v>0</v>
      </c>
      <c r="W160" s="578"/>
      <c r="X160" s="578">
        <v>0</v>
      </c>
      <c r="Y160" s="578">
        <v>0</v>
      </c>
      <c r="Z160" s="578">
        <v>0</v>
      </c>
      <c r="AA160" s="578">
        <v>0</v>
      </c>
      <c r="AB160" s="578">
        <v>7450.94</v>
      </c>
      <c r="AC160" s="578">
        <v>23830</v>
      </c>
      <c r="AD160" s="578">
        <v>165030</v>
      </c>
      <c r="AE160" s="578">
        <v>1906019.53</v>
      </c>
      <c r="AF160" s="578">
        <v>0</v>
      </c>
      <c r="AG160" s="578">
        <v>556709.75</v>
      </c>
      <c r="AH160" s="578">
        <v>70465.61</v>
      </c>
      <c r="AI160" s="578">
        <v>242900.64</v>
      </c>
      <c r="AJ160" s="578">
        <v>0</v>
      </c>
      <c r="AK160" s="578">
        <v>160745.5</v>
      </c>
      <c r="AL160" s="578">
        <v>3086.93</v>
      </c>
      <c r="AM160" s="578">
        <v>50</v>
      </c>
      <c r="AN160" s="578">
        <v>0</v>
      </c>
      <c r="AO160" s="578">
        <v>0</v>
      </c>
      <c r="AP160" s="578">
        <v>9092.3700000000008</v>
      </c>
      <c r="AQ160" s="578">
        <v>0</v>
      </c>
      <c r="AR160" s="578">
        <v>77969.320000000007</v>
      </c>
      <c r="AS160" s="578">
        <v>26644.39</v>
      </c>
      <c r="AT160" s="578">
        <v>50189.25</v>
      </c>
      <c r="AU160" s="578">
        <v>32871.360000000001</v>
      </c>
      <c r="AV160" s="578">
        <v>11804.2</v>
      </c>
      <c r="AW160" s="578">
        <v>122065.2</v>
      </c>
      <c r="AX160" s="578">
        <v>10864.71</v>
      </c>
      <c r="AY160" s="578">
        <v>0</v>
      </c>
      <c r="AZ160" s="578">
        <v>24303</v>
      </c>
      <c r="BA160" s="578">
        <v>16230</v>
      </c>
      <c r="BB160" s="578">
        <v>0</v>
      </c>
      <c r="BC160" s="578">
        <v>233824.39</v>
      </c>
      <c r="BD160" s="578">
        <v>115993.3</v>
      </c>
      <c r="BE160" s="578">
        <v>995</v>
      </c>
      <c r="BF160" s="578">
        <v>136499.96</v>
      </c>
      <c r="BG160" s="578">
        <v>0</v>
      </c>
      <c r="BH160" s="578">
        <v>0</v>
      </c>
      <c r="BI160" s="578">
        <v>0</v>
      </c>
      <c r="BJ160" s="578">
        <v>0</v>
      </c>
      <c r="BK160" s="578">
        <v>0</v>
      </c>
      <c r="BL160" s="578">
        <v>11650</v>
      </c>
      <c r="BM160" s="578">
        <v>0</v>
      </c>
      <c r="BN160" s="578">
        <v>0</v>
      </c>
      <c r="BO160" s="578">
        <v>10000</v>
      </c>
      <c r="BP160" s="578">
        <v>0</v>
      </c>
      <c r="BQ160" s="578">
        <v>0</v>
      </c>
      <c r="BR160" s="578">
        <v>0</v>
      </c>
      <c r="BS160" s="578">
        <v>0</v>
      </c>
      <c r="BT160" s="578">
        <v>0</v>
      </c>
      <c r="BU160" s="578">
        <v>301976.36</v>
      </c>
      <c r="BV160" s="578">
        <v>23387.3</v>
      </c>
      <c r="BW160" s="578">
        <v>0</v>
      </c>
      <c r="BX160" s="578">
        <v>0</v>
      </c>
      <c r="BY160" s="578">
        <v>0</v>
      </c>
      <c r="BZ160" s="578">
        <v>3739514.23</v>
      </c>
      <c r="CA160" s="578">
        <v>3809324.41</v>
      </c>
      <c r="CB160" s="578">
        <v>11650</v>
      </c>
      <c r="CC160" s="578">
        <v>0</v>
      </c>
      <c r="CD160" s="578">
        <v>325363.65999999997</v>
      </c>
    </row>
    <row r="161" spans="1:82" hidden="1" x14ac:dyDescent="0.3">
      <c r="A161" s="574" t="s">
        <v>1746</v>
      </c>
      <c r="B161" s="577">
        <v>3307006</v>
      </c>
      <c r="C161" s="574">
        <f>_xlfn.XLOOKUP(B161,'[1]Blade-Export_15-08-2022_sources'!B:B,'[1]Blade-Export_15-08-2022_sources'!F:F,0,FALSE)</f>
        <v>330</v>
      </c>
      <c r="D161" s="574">
        <f>_xlfn.XLOOKUP($B161,'[1]Blade-Export_15-08-2022_sources'!$B:$B,'[1]Blade-Export_15-08-2022_sources'!G:G,0,FALSE)</f>
        <v>7006</v>
      </c>
      <c r="E161" s="574" t="str">
        <f>_xlfn.XLOOKUP($B161,'[1]Blade-Export_15-08-2022_sources'!$B:$B,'[1]Blade-Export_15-08-2022_sources'!H:H,0,FALSE)</f>
        <v>HAMILTON Spec</v>
      </c>
      <c r="F161" s="578">
        <v>280703.74</v>
      </c>
      <c r="G161" s="578">
        <v>0</v>
      </c>
      <c r="H161" s="578">
        <v>8117.5</v>
      </c>
      <c r="I161" s="578">
        <v>2923662.82</v>
      </c>
      <c r="J161" s="578">
        <v>0</v>
      </c>
      <c r="K161" s="578">
        <v>0</v>
      </c>
      <c r="L161" s="578">
        <v>0</v>
      </c>
      <c r="M161" s="578">
        <v>99530</v>
      </c>
      <c r="N161" s="578">
        <v>6322.97</v>
      </c>
      <c r="O161" s="578">
        <v>0</v>
      </c>
      <c r="P161" s="578">
        <v>81715.63</v>
      </c>
      <c r="Q161" s="578">
        <v>392.99</v>
      </c>
      <c r="R161" s="578">
        <v>110617.49</v>
      </c>
      <c r="S161" s="578">
        <v>0</v>
      </c>
      <c r="T161" s="578">
        <v>0</v>
      </c>
      <c r="U161" s="578">
        <v>0</v>
      </c>
      <c r="V161" s="578">
        <v>0</v>
      </c>
      <c r="W161" s="578"/>
      <c r="X161" s="578">
        <v>0</v>
      </c>
      <c r="Y161" s="578">
        <v>0</v>
      </c>
      <c r="Z161" s="578">
        <v>0</v>
      </c>
      <c r="AA161" s="578">
        <v>0</v>
      </c>
      <c r="AB161" s="578">
        <v>17052.97</v>
      </c>
      <c r="AC161" s="578">
        <v>12200</v>
      </c>
      <c r="AD161" s="578">
        <v>23754</v>
      </c>
      <c r="AE161" s="578">
        <v>841905.63</v>
      </c>
      <c r="AF161" s="578">
        <v>0</v>
      </c>
      <c r="AG161" s="578">
        <v>1133363.82</v>
      </c>
      <c r="AH161" s="578">
        <v>55554.48</v>
      </c>
      <c r="AI161" s="578">
        <v>234656.97</v>
      </c>
      <c r="AJ161" s="578">
        <v>563.04</v>
      </c>
      <c r="AK161" s="578">
        <v>263800.48</v>
      </c>
      <c r="AL161" s="578">
        <v>7282.2</v>
      </c>
      <c r="AM161" s="578">
        <v>7786.67</v>
      </c>
      <c r="AN161" s="578">
        <v>0</v>
      </c>
      <c r="AO161" s="578">
        <v>300</v>
      </c>
      <c r="AP161" s="578">
        <v>21720.35</v>
      </c>
      <c r="AQ161" s="578">
        <v>0</v>
      </c>
      <c r="AR161" s="578">
        <v>12487.01</v>
      </c>
      <c r="AS161" s="578">
        <v>3345.82</v>
      </c>
      <c r="AT161" s="578">
        <v>13854.17</v>
      </c>
      <c r="AU161" s="578">
        <v>0</v>
      </c>
      <c r="AV161" s="578">
        <v>2693.24</v>
      </c>
      <c r="AW161" s="578">
        <v>52677.68</v>
      </c>
      <c r="AX161" s="578">
        <v>10432.07</v>
      </c>
      <c r="AY161" s="578">
        <v>0</v>
      </c>
      <c r="AZ161" s="578">
        <v>24095.37</v>
      </c>
      <c r="BA161" s="578">
        <v>2850</v>
      </c>
      <c r="BB161" s="578">
        <v>0</v>
      </c>
      <c r="BC161" s="578">
        <v>24205.85</v>
      </c>
      <c r="BD161" s="578">
        <v>0</v>
      </c>
      <c r="BE161" s="578">
        <v>995</v>
      </c>
      <c r="BF161" s="578">
        <v>470220.25</v>
      </c>
      <c r="BG161" s="578">
        <v>0</v>
      </c>
      <c r="BH161" s="578">
        <v>0</v>
      </c>
      <c r="BI161" s="578">
        <v>65574.009999999995</v>
      </c>
      <c r="BJ161" s="578">
        <v>0</v>
      </c>
      <c r="BK161" s="578">
        <v>0</v>
      </c>
      <c r="BL161" s="578">
        <v>10328.120000000001</v>
      </c>
      <c r="BM161" s="578">
        <v>0</v>
      </c>
      <c r="BN161" s="578">
        <v>0</v>
      </c>
      <c r="BO161" s="578">
        <v>10000</v>
      </c>
      <c r="BP161" s="578">
        <v>0</v>
      </c>
      <c r="BQ161" s="578">
        <v>5857</v>
      </c>
      <c r="BR161" s="578">
        <v>0</v>
      </c>
      <c r="BS161" s="578">
        <v>0</v>
      </c>
      <c r="BT161" s="578">
        <v>0</v>
      </c>
      <c r="BU161" s="578">
        <v>305588.49</v>
      </c>
      <c r="BV161" s="578">
        <v>12588.62</v>
      </c>
      <c r="BW161" s="578">
        <v>0</v>
      </c>
      <c r="BX161" s="578">
        <v>0</v>
      </c>
      <c r="BY161" s="578">
        <v>0</v>
      </c>
      <c r="BZ161" s="578">
        <v>3275248.87</v>
      </c>
      <c r="CA161" s="578">
        <v>3250364.11</v>
      </c>
      <c r="CB161" s="578">
        <v>10328.120000000001</v>
      </c>
      <c r="CC161" s="578">
        <v>5857</v>
      </c>
      <c r="CD161" s="578">
        <v>318177.11</v>
      </c>
    </row>
    <row r="162" spans="1:82" hidden="1" x14ac:dyDescent="0.3">
      <c r="A162" s="574" t="s">
        <v>1747</v>
      </c>
      <c r="B162" s="577">
        <v>3302092</v>
      </c>
      <c r="C162" s="574">
        <f>_xlfn.XLOOKUP(B162,'[1]Blade-Export_15-08-2022_sources'!B:B,'[1]Blade-Export_15-08-2022_sources'!F:F,0,FALSE)</f>
        <v>330</v>
      </c>
      <c r="D162" s="574">
        <f>_xlfn.XLOOKUP($B162,'[1]Blade-Export_15-08-2022_sources'!$B:$B,'[1]Blade-Export_15-08-2022_sources'!G:G,0,FALSE)</f>
        <v>2092</v>
      </c>
      <c r="E162" s="574" t="str">
        <f>_xlfn.XLOOKUP($B162,'[1]Blade-Export_15-08-2022_sources'!$B:$B,'[1]Blade-Export_15-08-2022_sources'!H:H,0,FALSE)</f>
        <v xml:space="preserve">HALL GREEN J </v>
      </c>
      <c r="F162" s="578">
        <v>514866.11</v>
      </c>
      <c r="G162" s="578">
        <v>0</v>
      </c>
      <c r="H162" s="578">
        <v>18778.3</v>
      </c>
      <c r="I162" s="578">
        <v>2068412.57</v>
      </c>
      <c r="J162" s="578">
        <v>0</v>
      </c>
      <c r="K162" s="578">
        <v>79236.36</v>
      </c>
      <c r="L162" s="578">
        <v>0</v>
      </c>
      <c r="M162" s="578">
        <v>173780</v>
      </c>
      <c r="N162" s="578">
        <v>4488.75</v>
      </c>
      <c r="O162" s="578">
        <v>0</v>
      </c>
      <c r="P162" s="578">
        <v>245527.16</v>
      </c>
      <c r="Q162" s="578">
        <v>0</v>
      </c>
      <c r="R162" s="578">
        <v>59565.47</v>
      </c>
      <c r="S162" s="578">
        <v>0</v>
      </c>
      <c r="T162" s="578">
        <v>0</v>
      </c>
      <c r="U162" s="578">
        <v>32397.95</v>
      </c>
      <c r="V162" s="578">
        <v>0</v>
      </c>
      <c r="W162" s="578"/>
      <c r="X162" s="578">
        <v>0</v>
      </c>
      <c r="Y162" s="578">
        <v>0</v>
      </c>
      <c r="Z162" s="578">
        <v>0</v>
      </c>
      <c r="AA162" s="578">
        <v>0</v>
      </c>
      <c r="AB162" s="578">
        <v>13623.75</v>
      </c>
      <c r="AC162" s="578">
        <v>16100</v>
      </c>
      <c r="AD162" s="578">
        <v>20806</v>
      </c>
      <c r="AE162" s="578">
        <v>1320068.3999999999</v>
      </c>
      <c r="AF162" s="578">
        <v>0</v>
      </c>
      <c r="AG162" s="578">
        <v>185680.27</v>
      </c>
      <c r="AH162" s="578">
        <v>66557.990000000005</v>
      </c>
      <c r="AI162" s="578">
        <v>159096.72</v>
      </c>
      <c r="AJ162" s="578">
        <v>0</v>
      </c>
      <c r="AK162" s="578">
        <v>77234.39</v>
      </c>
      <c r="AL162" s="578">
        <v>1995</v>
      </c>
      <c r="AM162" s="578">
        <v>410</v>
      </c>
      <c r="AN162" s="578">
        <v>0</v>
      </c>
      <c r="AO162" s="578">
        <v>0</v>
      </c>
      <c r="AP162" s="578">
        <v>87352.73</v>
      </c>
      <c r="AQ162" s="578">
        <v>1301.2</v>
      </c>
      <c r="AR162" s="578">
        <v>2144.71</v>
      </c>
      <c r="AS162" s="578">
        <v>4007.58</v>
      </c>
      <c r="AT162" s="578">
        <v>44122.45</v>
      </c>
      <c r="AU162" s="578">
        <v>26946.240000000002</v>
      </c>
      <c r="AV162" s="578">
        <v>8808.84</v>
      </c>
      <c r="AW162" s="578">
        <v>116054.58</v>
      </c>
      <c r="AX162" s="578">
        <v>92627.61</v>
      </c>
      <c r="AY162" s="578">
        <v>0</v>
      </c>
      <c r="AZ162" s="578">
        <v>13084.74</v>
      </c>
      <c r="BA162" s="578">
        <v>12155.59</v>
      </c>
      <c r="BB162" s="578">
        <v>0</v>
      </c>
      <c r="BC162" s="578">
        <v>89242.96</v>
      </c>
      <c r="BD162" s="578">
        <v>11017.99</v>
      </c>
      <c r="BE162" s="578">
        <v>0</v>
      </c>
      <c r="BF162" s="578">
        <v>177559.81</v>
      </c>
      <c r="BG162" s="578">
        <v>0</v>
      </c>
      <c r="BH162" s="578">
        <v>263.82</v>
      </c>
      <c r="BI162" s="578">
        <v>0</v>
      </c>
      <c r="BJ162" s="578">
        <v>0</v>
      </c>
      <c r="BK162" s="578">
        <v>0</v>
      </c>
      <c r="BL162" s="578">
        <v>9400</v>
      </c>
      <c r="BM162" s="578">
        <v>0</v>
      </c>
      <c r="BN162" s="578">
        <v>0</v>
      </c>
      <c r="BO162" s="578">
        <v>10000</v>
      </c>
      <c r="BP162" s="578">
        <v>0</v>
      </c>
      <c r="BQ162" s="578">
        <v>0</v>
      </c>
      <c r="BR162" s="578">
        <v>0</v>
      </c>
      <c r="BS162" s="578">
        <v>0</v>
      </c>
      <c r="BT162" s="578">
        <v>0</v>
      </c>
      <c r="BU162" s="578">
        <v>731070.5</v>
      </c>
      <c r="BV162" s="578">
        <v>28178.3</v>
      </c>
      <c r="BW162" s="578">
        <v>0</v>
      </c>
      <c r="BX162" s="578">
        <v>0</v>
      </c>
      <c r="BY162" s="578">
        <v>0</v>
      </c>
      <c r="BZ162" s="578">
        <v>2713938.01</v>
      </c>
      <c r="CA162" s="578">
        <v>2497733.62</v>
      </c>
      <c r="CB162" s="578">
        <v>9400</v>
      </c>
      <c r="CC162" s="578">
        <v>0</v>
      </c>
      <c r="CD162" s="578">
        <v>759248.8</v>
      </c>
    </row>
    <row r="163" spans="1:82" hidden="1" x14ac:dyDescent="0.3">
      <c r="A163" s="574" t="s">
        <v>1748</v>
      </c>
      <c r="B163" s="577">
        <v>3302093</v>
      </c>
      <c r="C163" s="574">
        <f>_xlfn.XLOOKUP(B163,'[1]Blade-Export_15-08-2022_sources'!B:B,'[1]Blade-Export_15-08-2022_sources'!F:F,0,FALSE)</f>
        <v>330</v>
      </c>
      <c r="D163" s="574">
        <f>_xlfn.XLOOKUP($B163,'[1]Blade-Export_15-08-2022_sources'!$B:$B,'[1]Blade-Export_15-08-2022_sources'!G:G,0,FALSE)</f>
        <v>2093</v>
      </c>
      <c r="E163" s="574" t="str">
        <f>_xlfn.XLOOKUP($B163,'[1]Blade-Export_15-08-2022_sources'!$B:$B,'[1]Blade-Export_15-08-2022_sources'!H:H,0,FALSE)</f>
        <v>HALL GREEN I NC</v>
      </c>
      <c r="F163" s="578">
        <v>299917.24</v>
      </c>
      <c r="G163" s="578">
        <v>0</v>
      </c>
      <c r="H163" s="578">
        <v>32571.96</v>
      </c>
      <c r="I163" s="578">
        <v>1755922.34</v>
      </c>
      <c r="J163" s="578">
        <v>0</v>
      </c>
      <c r="K163" s="578">
        <v>25165.42</v>
      </c>
      <c r="L163" s="578">
        <v>0</v>
      </c>
      <c r="M163" s="578">
        <v>95150</v>
      </c>
      <c r="N163" s="578">
        <v>1653.75</v>
      </c>
      <c r="O163" s="578">
        <v>0</v>
      </c>
      <c r="P163" s="578">
        <v>46429.51</v>
      </c>
      <c r="Q163" s="578">
        <v>407.82</v>
      </c>
      <c r="R163" s="578">
        <v>0</v>
      </c>
      <c r="S163" s="578">
        <v>0</v>
      </c>
      <c r="T163" s="578">
        <v>0</v>
      </c>
      <c r="U163" s="578">
        <v>34608.559999999998</v>
      </c>
      <c r="V163" s="578">
        <v>0</v>
      </c>
      <c r="W163" s="578"/>
      <c r="X163" s="578">
        <v>0</v>
      </c>
      <c r="Y163" s="578">
        <v>0</v>
      </c>
      <c r="Z163" s="578">
        <v>0</v>
      </c>
      <c r="AA163" s="578">
        <v>0</v>
      </c>
      <c r="AB163" s="578">
        <v>7928.75</v>
      </c>
      <c r="AC163" s="578">
        <v>11960</v>
      </c>
      <c r="AD163" s="578">
        <v>125231</v>
      </c>
      <c r="AE163" s="578">
        <v>890812.83</v>
      </c>
      <c r="AF163" s="578">
        <v>0</v>
      </c>
      <c r="AG163" s="578">
        <v>273568.39</v>
      </c>
      <c r="AH163" s="578">
        <v>41111.24</v>
      </c>
      <c r="AI163" s="578">
        <v>151655.73000000001</v>
      </c>
      <c r="AJ163" s="578">
        <v>0</v>
      </c>
      <c r="AK163" s="578">
        <v>57409.36</v>
      </c>
      <c r="AL163" s="578">
        <v>28185.8</v>
      </c>
      <c r="AM163" s="578">
        <v>5779.44</v>
      </c>
      <c r="AN163" s="578">
        <v>0</v>
      </c>
      <c r="AO163" s="578">
        <v>0</v>
      </c>
      <c r="AP163" s="578">
        <v>45780.37</v>
      </c>
      <c r="AQ163" s="578">
        <v>970.06</v>
      </c>
      <c r="AR163" s="578">
        <v>3251.34</v>
      </c>
      <c r="AS163" s="578">
        <v>4131.0600000000004</v>
      </c>
      <c r="AT163" s="578">
        <v>19480.55</v>
      </c>
      <c r="AU163" s="578">
        <v>19307.560000000001</v>
      </c>
      <c r="AV163" s="578">
        <v>6588.51</v>
      </c>
      <c r="AW163" s="578">
        <v>76463.59</v>
      </c>
      <c r="AX163" s="578">
        <v>48159.3</v>
      </c>
      <c r="AY163" s="578">
        <v>0</v>
      </c>
      <c r="AZ163" s="578">
        <v>20712.84</v>
      </c>
      <c r="BA163" s="578">
        <v>8000</v>
      </c>
      <c r="BB163" s="578">
        <v>0</v>
      </c>
      <c r="BC163" s="578">
        <v>51423.33</v>
      </c>
      <c r="BD163" s="578">
        <v>127174.63</v>
      </c>
      <c r="BE163" s="578">
        <v>7636.23</v>
      </c>
      <c r="BF163" s="578">
        <v>224106.16</v>
      </c>
      <c r="BG163" s="578">
        <v>0</v>
      </c>
      <c r="BH163" s="578">
        <v>0</v>
      </c>
      <c r="BI163" s="578">
        <v>960</v>
      </c>
      <c r="BJ163" s="578">
        <v>0</v>
      </c>
      <c r="BK163" s="578">
        <v>0</v>
      </c>
      <c r="BL163" s="578">
        <v>8384.1200000000008</v>
      </c>
      <c r="BM163" s="578">
        <v>0</v>
      </c>
      <c r="BN163" s="578">
        <v>0</v>
      </c>
      <c r="BO163" s="578">
        <v>10000</v>
      </c>
      <c r="BP163" s="578">
        <v>0</v>
      </c>
      <c r="BQ163" s="578">
        <v>0</v>
      </c>
      <c r="BR163" s="578">
        <v>491</v>
      </c>
      <c r="BS163" s="578">
        <v>3990</v>
      </c>
      <c r="BT163" s="578">
        <v>0</v>
      </c>
      <c r="BU163" s="578">
        <v>291706.07</v>
      </c>
      <c r="BV163" s="578">
        <v>36475.08</v>
      </c>
      <c r="BW163" s="578">
        <v>0</v>
      </c>
      <c r="BX163" s="578">
        <v>0</v>
      </c>
      <c r="BY163" s="578">
        <v>0</v>
      </c>
      <c r="BZ163" s="578">
        <v>2104457.15</v>
      </c>
      <c r="CA163" s="578">
        <v>2112668.3199999998</v>
      </c>
      <c r="CB163" s="578">
        <v>8384.1200000000008</v>
      </c>
      <c r="CC163" s="578">
        <v>4481</v>
      </c>
      <c r="CD163" s="578">
        <v>328181.15000000002</v>
      </c>
    </row>
    <row r="164" spans="1:82" hidden="1" x14ac:dyDescent="0.3">
      <c r="A164" s="574" t="s">
        <v>1749</v>
      </c>
      <c r="B164" s="577">
        <v>3302091</v>
      </c>
      <c r="C164" s="574">
        <f>_xlfn.XLOOKUP(B164,'[1]Blade-Export_15-08-2022_sources'!B:B,'[1]Blade-Export_15-08-2022_sources'!F:F,0,FALSE)</f>
        <v>330</v>
      </c>
      <c r="D164" s="574">
        <f>_xlfn.XLOOKUP($B164,'[1]Blade-Export_15-08-2022_sources'!$B:$B,'[1]Blade-Export_15-08-2022_sources'!G:G,0,FALSE)</f>
        <v>2091</v>
      </c>
      <c r="E164" s="574" t="str">
        <f>_xlfn.XLOOKUP($B164,'[1]Blade-Export_15-08-2022_sources'!$B:$B,'[1]Blade-Export_15-08-2022_sources'!H:H,0,FALSE)</f>
        <v>GUNTER JI NC</v>
      </c>
      <c r="F164" s="578">
        <v>-43441.58</v>
      </c>
      <c r="G164" s="578">
        <v>0</v>
      </c>
      <c r="H164" s="578">
        <v>35699.67</v>
      </c>
      <c r="I164" s="578">
        <v>973943.47</v>
      </c>
      <c r="J164" s="578">
        <v>0</v>
      </c>
      <c r="K164" s="578">
        <v>18436.75</v>
      </c>
      <c r="L164" s="578">
        <v>0</v>
      </c>
      <c r="M164" s="578">
        <v>117670</v>
      </c>
      <c r="N164" s="578">
        <v>2657.81</v>
      </c>
      <c r="O164" s="578">
        <v>0</v>
      </c>
      <c r="P164" s="578">
        <v>36711.14</v>
      </c>
      <c r="Q164" s="578">
        <v>0</v>
      </c>
      <c r="R164" s="578">
        <v>2857.14</v>
      </c>
      <c r="S164" s="578">
        <v>0</v>
      </c>
      <c r="T164" s="578">
        <v>0</v>
      </c>
      <c r="U164" s="578">
        <v>3361.65</v>
      </c>
      <c r="V164" s="578">
        <v>0</v>
      </c>
      <c r="W164" s="578"/>
      <c r="X164" s="578">
        <v>0</v>
      </c>
      <c r="Y164" s="578">
        <v>0</v>
      </c>
      <c r="Z164" s="578">
        <v>0</v>
      </c>
      <c r="AA164" s="578">
        <v>0</v>
      </c>
      <c r="AB164" s="578">
        <v>17533.91</v>
      </c>
      <c r="AC164" s="578">
        <v>6430</v>
      </c>
      <c r="AD164" s="578">
        <v>50222.5</v>
      </c>
      <c r="AE164" s="578">
        <v>499085.37</v>
      </c>
      <c r="AF164" s="578">
        <v>0</v>
      </c>
      <c r="AG164" s="578">
        <v>310189.81</v>
      </c>
      <c r="AH164" s="578">
        <v>42229.31</v>
      </c>
      <c r="AI164" s="578">
        <v>63931.68</v>
      </c>
      <c r="AJ164" s="578">
        <v>15233.62</v>
      </c>
      <c r="AK164" s="578">
        <v>25278.62</v>
      </c>
      <c r="AL164" s="578">
        <v>2074</v>
      </c>
      <c r="AM164" s="578">
        <v>2668.99</v>
      </c>
      <c r="AN164" s="578">
        <v>0</v>
      </c>
      <c r="AO164" s="578">
        <v>0</v>
      </c>
      <c r="AP164" s="578">
        <v>16209.79</v>
      </c>
      <c r="AQ164" s="578">
        <v>1876.88</v>
      </c>
      <c r="AR164" s="578">
        <v>6734.98</v>
      </c>
      <c r="AS164" s="578">
        <v>10735.21</v>
      </c>
      <c r="AT164" s="578">
        <v>19906.41</v>
      </c>
      <c r="AU164" s="578">
        <v>16423.96</v>
      </c>
      <c r="AV164" s="578">
        <v>6635.97</v>
      </c>
      <c r="AW164" s="578">
        <v>54866.82</v>
      </c>
      <c r="AX164" s="578">
        <v>6736.4</v>
      </c>
      <c r="AY164" s="578">
        <v>0</v>
      </c>
      <c r="AZ164" s="578">
        <v>32894.57</v>
      </c>
      <c r="BA164" s="578">
        <v>4450</v>
      </c>
      <c r="BB164" s="578">
        <v>0</v>
      </c>
      <c r="BC164" s="578">
        <v>70401.289999999994</v>
      </c>
      <c r="BD164" s="578">
        <v>21870.95</v>
      </c>
      <c r="BE164" s="578">
        <v>334</v>
      </c>
      <c r="BF164" s="578">
        <v>86752.82</v>
      </c>
      <c r="BG164" s="578">
        <v>0</v>
      </c>
      <c r="BH164" s="578">
        <v>0</v>
      </c>
      <c r="BI164" s="578">
        <v>0</v>
      </c>
      <c r="BJ164" s="578">
        <v>0</v>
      </c>
      <c r="BK164" s="578">
        <v>0</v>
      </c>
      <c r="BL164" s="578">
        <v>6221.88</v>
      </c>
      <c r="BM164" s="578">
        <v>0</v>
      </c>
      <c r="BN164" s="578">
        <v>0</v>
      </c>
      <c r="BO164" s="578">
        <v>10000</v>
      </c>
      <c r="BP164" s="578">
        <v>0</v>
      </c>
      <c r="BQ164" s="578">
        <v>7972.94</v>
      </c>
      <c r="BR164" s="578">
        <v>0</v>
      </c>
      <c r="BS164" s="578">
        <v>0</v>
      </c>
      <c r="BT164" s="578">
        <v>0</v>
      </c>
      <c r="BU164" s="578">
        <v>-131138.66</v>
      </c>
      <c r="BV164" s="578">
        <v>33948.61</v>
      </c>
      <c r="BW164" s="578">
        <v>0</v>
      </c>
      <c r="BX164" s="578">
        <v>0</v>
      </c>
      <c r="BY164" s="578">
        <v>0</v>
      </c>
      <c r="BZ164" s="578">
        <v>1229824.3700000001</v>
      </c>
      <c r="CA164" s="578">
        <v>1317521.45</v>
      </c>
      <c r="CB164" s="578">
        <v>6221.88</v>
      </c>
      <c r="CC164" s="578">
        <v>7972.94</v>
      </c>
      <c r="CD164" s="578">
        <v>-97190.05</v>
      </c>
    </row>
    <row r="165" spans="1:82" hidden="1" x14ac:dyDescent="0.3">
      <c r="A165" s="574" t="s">
        <v>1750</v>
      </c>
      <c r="B165" s="577">
        <v>3302466</v>
      </c>
      <c r="C165" s="574">
        <f>_xlfn.XLOOKUP(B165,'[1]Blade-Export_15-08-2022_sources'!B:B,'[1]Blade-Export_15-08-2022_sources'!F:F,0,FALSE)</f>
        <v>330</v>
      </c>
      <c r="D165" s="574">
        <f>_xlfn.XLOOKUP($B165,'[1]Blade-Export_15-08-2022_sources'!$B:$B,'[1]Blade-Export_15-08-2022_sources'!G:G,0,FALSE)</f>
        <v>2466</v>
      </c>
      <c r="E165" s="574" t="str">
        <f>_xlfn.XLOOKUP($B165,'[1]Blade-Export_15-08-2022_sources'!$B:$B,'[1]Blade-Export_15-08-2022_sources'!H:H,0,FALSE)</f>
        <v>GROVE JI NC</v>
      </c>
      <c r="F165" s="578">
        <v>727850.38</v>
      </c>
      <c r="G165" s="578">
        <v>0</v>
      </c>
      <c r="H165" s="578">
        <v>19153.28</v>
      </c>
      <c r="I165" s="578">
        <v>3313163.96</v>
      </c>
      <c r="J165" s="578">
        <v>0</v>
      </c>
      <c r="K165" s="578">
        <v>75557.490000000005</v>
      </c>
      <c r="L165" s="578">
        <v>0</v>
      </c>
      <c r="M165" s="578">
        <v>310695</v>
      </c>
      <c r="N165" s="578">
        <v>7737.19</v>
      </c>
      <c r="O165" s="578">
        <v>0</v>
      </c>
      <c r="P165" s="578">
        <v>84765.04</v>
      </c>
      <c r="Q165" s="578">
        <v>1018.99</v>
      </c>
      <c r="R165" s="578">
        <v>663.45</v>
      </c>
      <c r="S165" s="578">
        <v>0</v>
      </c>
      <c r="T165" s="578">
        <v>0</v>
      </c>
      <c r="U165" s="578">
        <v>7549.98</v>
      </c>
      <c r="V165" s="578">
        <v>0</v>
      </c>
      <c r="W165" s="578"/>
      <c r="X165" s="578">
        <v>0</v>
      </c>
      <c r="Y165" s="578">
        <v>0</v>
      </c>
      <c r="Z165" s="578">
        <v>0</v>
      </c>
      <c r="AA165" s="578">
        <v>0</v>
      </c>
      <c r="AB165" s="578">
        <v>24484.69</v>
      </c>
      <c r="AC165" s="578">
        <v>20530</v>
      </c>
      <c r="AD165" s="578">
        <v>81728</v>
      </c>
      <c r="AE165" s="578">
        <v>1661787.56</v>
      </c>
      <c r="AF165" s="578">
        <v>0</v>
      </c>
      <c r="AG165" s="578">
        <v>299527.17</v>
      </c>
      <c r="AH165" s="578">
        <v>222851.67</v>
      </c>
      <c r="AI165" s="578">
        <v>175803.99</v>
      </c>
      <c r="AJ165" s="578">
        <v>41895.68</v>
      </c>
      <c r="AK165" s="578">
        <v>82641.649999999994</v>
      </c>
      <c r="AL165" s="578">
        <v>16976.45</v>
      </c>
      <c r="AM165" s="578">
        <v>3115</v>
      </c>
      <c r="AN165" s="578">
        <v>0</v>
      </c>
      <c r="AO165" s="578">
        <v>0</v>
      </c>
      <c r="AP165" s="578">
        <v>88360.18</v>
      </c>
      <c r="AQ165" s="578">
        <v>0</v>
      </c>
      <c r="AR165" s="578">
        <v>11895.75</v>
      </c>
      <c r="AS165" s="578">
        <v>8621.23</v>
      </c>
      <c r="AT165" s="578">
        <v>39243.300000000003</v>
      </c>
      <c r="AU165" s="578">
        <v>44692.4</v>
      </c>
      <c r="AV165" s="578">
        <v>25344.77</v>
      </c>
      <c r="AW165" s="578">
        <v>172365.54</v>
      </c>
      <c r="AX165" s="578">
        <v>20310.349999999999</v>
      </c>
      <c r="AY165" s="578">
        <v>0</v>
      </c>
      <c r="AZ165" s="578">
        <v>49859.67</v>
      </c>
      <c r="BA165" s="578">
        <v>16230</v>
      </c>
      <c r="BB165" s="578">
        <v>0</v>
      </c>
      <c r="BC165" s="578">
        <v>156682.60999999999</v>
      </c>
      <c r="BD165" s="578">
        <v>185678.31</v>
      </c>
      <c r="BE165" s="578">
        <v>30024</v>
      </c>
      <c r="BF165" s="578">
        <v>432183.86</v>
      </c>
      <c r="BG165" s="578">
        <v>0</v>
      </c>
      <c r="BH165" s="578">
        <v>0</v>
      </c>
      <c r="BI165" s="578">
        <v>98891.07</v>
      </c>
      <c r="BJ165" s="578">
        <v>0</v>
      </c>
      <c r="BK165" s="578">
        <v>0</v>
      </c>
      <c r="BL165" s="578">
        <v>11588.12</v>
      </c>
      <c r="BM165" s="578">
        <v>0</v>
      </c>
      <c r="BN165" s="578">
        <v>0</v>
      </c>
      <c r="BO165" s="578">
        <v>10000</v>
      </c>
      <c r="BP165" s="578">
        <v>0</v>
      </c>
      <c r="BQ165" s="578">
        <v>11764.75</v>
      </c>
      <c r="BR165" s="578">
        <v>0</v>
      </c>
      <c r="BS165" s="578">
        <v>0</v>
      </c>
      <c r="BT165" s="578">
        <v>0</v>
      </c>
      <c r="BU165" s="578">
        <v>770761.95</v>
      </c>
      <c r="BV165" s="578">
        <v>18976.650000000001</v>
      </c>
      <c r="BW165" s="578">
        <v>0</v>
      </c>
      <c r="BX165" s="578">
        <v>0</v>
      </c>
      <c r="BY165" s="578">
        <v>0</v>
      </c>
      <c r="BZ165" s="578">
        <v>3927893.79</v>
      </c>
      <c r="CA165" s="578">
        <v>3884982.21</v>
      </c>
      <c r="CB165" s="578">
        <v>11588.12</v>
      </c>
      <c r="CC165" s="578">
        <v>11764.75</v>
      </c>
      <c r="CD165" s="578">
        <v>789738.6</v>
      </c>
    </row>
    <row r="166" spans="1:82" hidden="1" x14ac:dyDescent="0.3">
      <c r="A166" s="574" t="s">
        <v>1751</v>
      </c>
      <c r="B166" s="577">
        <v>3302087</v>
      </c>
      <c r="C166" s="574">
        <f>_xlfn.XLOOKUP(B166,'[1]Blade-Export_15-08-2022_sources'!B:B,'[1]Blade-Export_15-08-2022_sources'!F:F,0,FALSE)</f>
        <v>330</v>
      </c>
      <c r="D166" s="574">
        <f>_xlfn.XLOOKUP($B166,'[1]Blade-Export_15-08-2022_sources'!$B:$B,'[1]Blade-Export_15-08-2022_sources'!G:G,0,FALSE)</f>
        <v>2087</v>
      </c>
      <c r="E166" s="574" t="str">
        <f>_xlfn.XLOOKUP($B166,'[1]Blade-Export_15-08-2022_sources'!$B:$B,'[1]Blade-Export_15-08-2022_sources'!H:H,0,FALSE)</f>
        <v>GRENDON JI NC</v>
      </c>
      <c r="F166" s="578">
        <v>203831.44</v>
      </c>
      <c r="G166" s="578">
        <v>0</v>
      </c>
      <c r="H166" s="578">
        <v>242.23</v>
      </c>
      <c r="I166" s="578">
        <v>1803496.56</v>
      </c>
      <c r="J166" s="578">
        <v>0</v>
      </c>
      <c r="K166" s="578">
        <v>60039.98</v>
      </c>
      <c r="L166" s="578">
        <v>0</v>
      </c>
      <c r="M166" s="578">
        <v>263620</v>
      </c>
      <c r="N166" s="578">
        <v>6024.38</v>
      </c>
      <c r="O166" s="578">
        <v>1000</v>
      </c>
      <c r="P166" s="578">
        <v>31080.32</v>
      </c>
      <c r="Q166" s="578">
        <v>285.36</v>
      </c>
      <c r="R166" s="578">
        <v>1749.25</v>
      </c>
      <c r="S166" s="578">
        <v>0</v>
      </c>
      <c r="T166" s="578">
        <v>0</v>
      </c>
      <c r="U166" s="578">
        <v>40</v>
      </c>
      <c r="V166" s="578">
        <v>0</v>
      </c>
      <c r="W166" s="578"/>
      <c r="X166" s="578">
        <v>0</v>
      </c>
      <c r="Y166" s="578">
        <v>0</v>
      </c>
      <c r="Z166" s="578">
        <v>0</v>
      </c>
      <c r="AA166" s="578">
        <v>0</v>
      </c>
      <c r="AB166" s="578">
        <v>21434.38</v>
      </c>
      <c r="AC166" s="578">
        <v>11830</v>
      </c>
      <c r="AD166" s="578">
        <v>48836.5</v>
      </c>
      <c r="AE166" s="578">
        <v>1092378.3600000001</v>
      </c>
      <c r="AF166" s="578">
        <v>18349.52</v>
      </c>
      <c r="AG166" s="578">
        <v>277043.71000000002</v>
      </c>
      <c r="AH166" s="578">
        <v>72503</v>
      </c>
      <c r="AI166" s="578">
        <v>117780.76</v>
      </c>
      <c r="AJ166" s="578">
        <v>0</v>
      </c>
      <c r="AK166" s="578">
        <v>60456.56</v>
      </c>
      <c r="AL166" s="578">
        <v>1177.5999999999999</v>
      </c>
      <c r="AM166" s="578">
        <v>460</v>
      </c>
      <c r="AN166" s="578">
        <v>0</v>
      </c>
      <c r="AO166" s="578">
        <v>0</v>
      </c>
      <c r="AP166" s="578">
        <v>43200.51</v>
      </c>
      <c r="AQ166" s="578">
        <v>4690.24</v>
      </c>
      <c r="AR166" s="578">
        <v>5925.34</v>
      </c>
      <c r="AS166" s="578">
        <v>9864.36</v>
      </c>
      <c r="AT166" s="578">
        <v>20303.66</v>
      </c>
      <c r="AU166" s="578">
        <v>25074.75</v>
      </c>
      <c r="AV166" s="578">
        <v>13020.93</v>
      </c>
      <c r="AW166" s="578">
        <v>93932.37</v>
      </c>
      <c r="AX166" s="578">
        <v>12445.5</v>
      </c>
      <c r="AY166" s="578">
        <v>0</v>
      </c>
      <c r="AZ166" s="578">
        <v>18289.77</v>
      </c>
      <c r="BA166" s="578">
        <v>8200</v>
      </c>
      <c r="BB166" s="578">
        <v>0</v>
      </c>
      <c r="BC166" s="578">
        <v>40023.370000000003</v>
      </c>
      <c r="BD166" s="578">
        <v>99667.520000000004</v>
      </c>
      <c r="BE166" s="578">
        <v>1014.77</v>
      </c>
      <c r="BF166" s="578">
        <v>190735.3</v>
      </c>
      <c r="BG166" s="578">
        <v>0</v>
      </c>
      <c r="BH166" s="578">
        <v>0</v>
      </c>
      <c r="BI166" s="578">
        <v>0</v>
      </c>
      <c r="BJ166" s="578">
        <v>0</v>
      </c>
      <c r="BK166" s="578">
        <v>0</v>
      </c>
      <c r="BL166" s="578">
        <v>8038.75</v>
      </c>
      <c r="BM166" s="578">
        <v>0</v>
      </c>
      <c r="BN166" s="578">
        <v>0</v>
      </c>
      <c r="BO166" s="578">
        <v>10000</v>
      </c>
      <c r="BP166" s="578">
        <v>0</v>
      </c>
      <c r="BQ166" s="578">
        <v>4294.6099999999997</v>
      </c>
      <c r="BR166" s="578">
        <v>0</v>
      </c>
      <c r="BS166" s="578">
        <v>0</v>
      </c>
      <c r="BT166" s="578">
        <v>0</v>
      </c>
      <c r="BU166" s="578">
        <v>226730.26</v>
      </c>
      <c r="BV166" s="578">
        <v>3986.37</v>
      </c>
      <c r="BW166" s="578">
        <v>0</v>
      </c>
      <c r="BX166" s="578">
        <v>0</v>
      </c>
      <c r="BY166" s="578">
        <v>0</v>
      </c>
      <c r="BZ166" s="578">
        <v>2249436.73</v>
      </c>
      <c r="CA166" s="578">
        <v>2226537.9</v>
      </c>
      <c r="CB166" s="578">
        <v>8038.75</v>
      </c>
      <c r="CC166" s="578">
        <v>4294.6099999999997</v>
      </c>
      <c r="CD166" s="578">
        <v>230716.63</v>
      </c>
    </row>
    <row r="167" spans="1:82" hidden="1" x14ac:dyDescent="0.3">
      <c r="A167" s="574" t="s">
        <v>1752</v>
      </c>
      <c r="B167" s="577">
        <v>3301022</v>
      </c>
      <c r="C167" s="574">
        <f>_xlfn.XLOOKUP(B167,'[1]Blade-Export_15-08-2022_sources'!B:B,'[1]Blade-Export_15-08-2022_sources'!F:F,0,FALSE)</f>
        <v>330</v>
      </c>
      <c r="D167" s="574">
        <f>_xlfn.XLOOKUP($B167,'[1]Blade-Export_15-08-2022_sources'!$B:$B,'[1]Blade-Export_15-08-2022_sources'!G:G,0,FALSE)</f>
        <v>1022</v>
      </c>
      <c r="E167" s="574" t="str">
        <f>_xlfn.XLOOKUP($B167,'[1]Blade-Export_15-08-2022_sources'!$B:$B,'[1]Blade-Export_15-08-2022_sources'!H:H,0,FALSE)</f>
        <v>GRACELANDS Nurs</v>
      </c>
      <c r="F167" s="578">
        <v>-20022.38</v>
      </c>
      <c r="G167" s="578">
        <v>0</v>
      </c>
      <c r="H167" s="578">
        <v>13402.34</v>
      </c>
      <c r="I167" s="578">
        <v>414701.57</v>
      </c>
      <c r="J167" s="578">
        <v>0</v>
      </c>
      <c r="K167" s="578">
        <v>0</v>
      </c>
      <c r="L167" s="578">
        <v>0</v>
      </c>
      <c r="M167" s="578">
        <v>0</v>
      </c>
      <c r="N167" s="578">
        <v>0</v>
      </c>
      <c r="O167" s="578">
        <v>0</v>
      </c>
      <c r="P167" s="578">
        <v>11509.85</v>
      </c>
      <c r="Q167" s="578">
        <v>0</v>
      </c>
      <c r="R167" s="578">
        <v>0</v>
      </c>
      <c r="S167" s="578">
        <v>0</v>
      </c>
      <c r="T167" s="578">
        <v>0</v>
      </c>
      <c r="U167" s="578">
        <v>1585</v>
      </c>
      <c r="V167" s="578">
        <v>0</v>
      </c>
      <c r="W167" s="578"/>
      <c r="X167" s="578">
        <v>0</v>
      </c>
      <c r="Y167" s="578">
        <v>0</v>
      </c>
      <c r="Z167" s="578">
        <v>0</v>
      </c>
      <c r="AA167" s="578">
        <v>0</v>
      </c>
      <c r="AB167" s="578">
        <v>0</v>
      </c>
      <c r="AC167" s="578">
        <v>0</v>
      </c>
      <c r="AD167" s="578">
        <v>0</v>
      </c>
      <c r="AE167" s="578">
        <v>111353.94</v>
      </c>
      <c r="AF167" s="578">
        <v>0</v>
      </c>
      <c r="AG167" s="578">
        <v>59769.29</v>
      </c>
      <c r="AH167" s="578">
        <v>0</v>
      </c>
      <c r="AI167" s="578">
        <v>42664.62</v>
      </c>
      <c r="AJ167" s="578">
        <v>0</v>
      </c>
      <c r="AK167" s="578">
        <v>76406.33</v>
      </c>
      <c r="AL167" s="578">
        <v>580.29999999999995</v>
      </c>
      <c r="AM167" s="578">
        <v>0</v>
      </c>
      <c r="AN167" s="578">
        <v>0</v>
      </c>
      <c r="AO167" s="578">
        <v>0</v>
      </c>
      <c r="AP167" s="578">
        <v>1657.27</v>
      </c>
      <c r="AQ167" s="578">
        <v>432.79</v>
      </c>
      <c r="AR167" s="578">
        <v>13513.32</v>
      </c>
      <c r="AS167" s="578">
        <v>2633.13</v>
      </c>
      <c r="AT167" s="578">
        <v>4712.2299999999996</v>
      </c>
      <c r="AU167" s="578">
        <v>4740.5</v>
      </c>
      <c r="AV167" s="578">
        <v>1023.67</v>
      </c>
      <c r="AW167" s="578">
        <v>2743.94</v>
      </c>
      <c r="AX167" s="578">
        <v>1008.81</v>
      </c>
      <c r="AY167" s="578">
        <v>0</v>
      </c>
      <c r="AZ167" s="578">
        <v>8503.5499999999993</v>
      </c>
      <c r="BA167" s="578">
        <v>2850</v>
      </c>
      <c r="BB167" s="578">
        <v>0</v>
      </c>
      <c r="BC167" s="578">
        <v>490.22</v>
      </c>
      <c r="BD167" s="578">
        <v>7275.84</v>
      </c>
      <c r="BE167" s="578">
        <v>167</v>
      </c>
      <c r="BF167" s="578">
        <v>48750.59</v>
      </c>
      <c r="BG167" s="578">
        <v>0</v>
      </c>
      <c r="BH167" s="578">
        <v>0</v>
      </c>
      <c r="BI167" s="578">
        <v>0</v>
      </c>
      <c r="BJ167" s="578">
        <v>0</v>
      </c>
      <c r="BK167" s="578">
        <v>0</v>
      </c>
      <c r="BL167" s="578">
        <v>4762.75</v>
      </c>
      <c r="BM167" s="578">
        <v>0</v>
      </c>
      <c r="BN167" s="578">
        <v>0</v>
      </c>
      <c r="BO167" s="578">
        <v>10000</v>
      </c>
      <c r="BP167" s="578">
        <v>0</v>
      </c>
      <c r="BQ167" s="578">
        <v>0</v>
      </c>
      <c r="BR167" s="578">
        <v>0</v>
      </c>
      <c r="BS167" s="578">
        <v>0</v>
      </c>
      <c r="BT167" s="578">
        <v>0</v>
      </c>
      <c r="BU167" s="578">
        <v>16496.7</v>
      </c>
      <c r="BV167" s="578">
        <v>18165.09</v>
      </c>
      <c r="BW167" s="578">
        <v>0</v>
      </c>
      <c r="BX167" s="578">
        <v>0</v>
      </c>
      <c r="BY167" s="578">
        <v>0</v>
      </c>
      <c r="BZ167" s="578">
        <v>427796.42</v>
      </c>
      <c r="CA167" s="578">
        <v>391277.34</v>
      </c>
      <c r="CB167" s="578">
        <v>4762.75</v>
      </c>
      <c r="CC167" s="578">
        <v>0</v>
      </c>
      <c r="CD167" s="578">
        <v>34661.79</v>
      </c>
    </row>
    <row r="168" spans="1:82" hidden="1" x14ac:dyDescent="0.3">
      <c r="A168" s="574" t="s">
        <v>1753</v>
      </c>
      <c r="B168" s="577">
        <v>3301015</v>
      </c>
      <c r="C168" s="574">
        <f>_xlfn.XLOOKUP(B168,'[1]Blade-Export_15-08-2022_sources'!B:B,'[1]Blade-Export_15-08-2022_sources'!F:F,0,FALSE)</f>
        <v>330</v>
      </c>
      <c r="D168" s="574">
        <f>_xlfn.XLOOKUP($B168,'[1]Blade-Export_15-08-2022_sources'!$B:$B,'[1]Blade-Export_15-08-2022_sources'!G:G,0,FALSE)</f>
        <v>1015</v>
      </c>
      <c r="E168" s="574" t="str">
        <f>_xlfn.XLOOKUP($B168,'[1]Blade-Export_15-08-2022_sources'!$B:$B,'[1]Blade-Export_15-08-2022_sources'!H:H,0,FALSE)</f>
        <v>GOODWAY Nurs</v>
      </c>
      <c r="F168" s="578">
        <v>69717.63</v>
      </c>
      <c r="G168" s="578">
        <v>0</v>
      </c>
      <c r="H168" s="578">
        <v>2562.1</v>
      </c>
      <c r="I168" s="578">
        <v>515185.95</v>
      </c>
      <c r="J168" s="578">
        <v>0</v>
      </c>
      <c r="K168" s="578">
        <v>2819.17</v>
      </c>
      <c r="L168" s="578">
        <v>0</v>
      </c>
      <c r="M168" s="578">
        <v>0</v>
      </c>
      <c r="N168" s="578">
        <v>0</v>
      </c>
      <c r="O168" s="578">
        <v>0</v>
      </c>
      <c r="P168" s="578">
        <v>16313.99</v>
      </c>
      <c r="Q168" s="578">
        <v>97.6</v>
      </c>
      <c r="R168" s="578">
        <v>0</v>
      </c>
      <c r="S168" s="578">
        <v>0</v>
      </c>
      <c r="T168" s="578">
        <v>0</v>
      </c>
      <c r="U168" s="578">
        <v>50011.55</v>
      </c>
      <c r="V168" s="578">
        <v>0</v>
      </c>
      <c r="W168" s="578"/>
      <c r="X168" s="578">
        <v>0</v>
      </c>
      <c r="Y168" s="578">
        <v>0</v>
      </c>
      <c r="Z168" s="578">
        <v>0</v>
      </c>
      <c r="AA168" s="578">
        <v>0</v>
      </c>
      <c r="AB168" s="578">
        <v>0</v>
      </c>
      <c r="AC168" s="578">
        <v>0</v>
      </c>
      <c r="AD168" s="578">
        <v>0</v>
      </c>
      <c r="AE168" s="578">
        <v>150092.72</v>
      </c>
      <c r="AF168" s="578">
        <v>0</v>
      </c>
      <c r="AG168" s="578">
        <v>247852.66</v>
      </c>
      <c r="AH168" s="578">
        <v>20433.66</v>
      </c>
      <c r="AI168" s="578">
        <v>28189.13</v>
      </c>
      <c r="AJ168" s="578">
        <v>0</v>
      </c>
      <c r="AK168" s="578">
        <v>24239.13</v>
      </c>
      <c r="AL168" s="578">
        <v>776.5</v>
      </c>
      <c r="AM168" s="578">
        <v>1102</v>
      </c>
      <c r="AN168" s="578">
        <v>0</v>
      </c>
      <c r="AO168" s="578">
        <v>0</v>
      </c>
      <c r="AP168" s="578">
        <v>1854.66</v>
      </c>
      <c r="AQ168" s="578">
        <v>200</v>
      </c>
      <c r="AR168" s="578">
        <v>1283.3800000000001</v>
      </c>
      <c r="AS168" s="578">
        <v>1319.68</v>
      </c>
      <c r="AT168" s="578">
        <v>2942.3</v>
      </c>
      <c r="AU168" s="578">
        <v>1621.75</v>
      </c>
      <c r="AV168" s="578">
        <v>793.5</v>
      </c>
      <c r="AW168" s="578">
        <v>19839.14</v>
      </c>
      <c r="AX168" s="578">
        <v>5727.29</v>
      </c>
      <c r="AY168" s="578">
        <v>0</v>
      </c>
      <c r="AZ168" s="578">
        <v>5770</v>
      </c>
      <c r="BA168" s="578">
        <v>2850</v>
      </c>
      <c r="BB168" s="578">
        <v>0</v>
      </c>
      <c r="BC168" s="578">
        <v>2013.06</v>
      </c>
      <c r="BD168" s="578">
        <v>4564.66</v>
      </c>
      <c r="BE168" s="578">
        <v>0</v>
      </c>
      <c r="BF168" s="578">
        <v>25164.77</v>
      </c>
      <c r="BG168" s="578">
        <v>0</v>
      </c>
      <c r="BH168" s="578">
        <v>0</v>
      </c>
      <c r="BI168" s="578">
        <v>0</v>
      </c>
      <c r="BJ168" s="578">
        <v>0</v>
      </c>
      <c r="BK168" s="578">
        <v>0</v>
      </c>
      <c r="BL168" s="578">
        <v>4878.3999999999996</v>
      </c>
      <c r="BM168" s="578">
        <v>0</v>
      </c>
      <c r="BN168" s="578">
        <v>0</v>
      </c>
      <c r="BO168" s="578">
        <v>10000</v>
      </c>
      <c r="BP168" s="578">
        <v>0</v>
      </c>
      <c r="BQ168" s="578">
        <v>1540</v>
      </c>
      <c r="BR168" s="578">
        <v>0</v>
      </c>
      <c r="BS168" s="578">
        <v>0</v>
      </c>
      <c r="BT168" s="578">
        <v>0</v>
      </c>
      <c r="BU168" s="578">
        <v>105515.9</v>
      </c>
      <c r="BV168" s="578">
        <v>5900.5</v>
      </c>
      <c r="BW168" s="578">
        <v>0</v>
      </c>
      <c r="BX168" s="578">
        <v>0</v>
      </c>
      <c r="BY168" s="578">
        <v>0</v>
      </c>
      <c r="BZ168" s="578">
        <v>584428.26</v>
      </c>
      <c r="CA168" s="578">
        <v>548629.99</v>
      </c>
      <c r="CB168" s="578">
        <v>4878.3999999999996</v>
      </c>
      <c r="CC168" s="578">
        <v>1540</v>
      </c>
      <c r="CD168" s="578">
        <v>111416.4</v>
      </c>
    </row>
    <row r="169" spans="1:82" hidden="1" x14ac:dyDescent="0.3">
      <c r="A169" s="574" t="s">
        <v>1754</v>
      </c>
      <c r="B169" s="577">
        <v>3302296</v>
      </c>
      <c r="C169" s="574">
        <f>_xlfn.XLOOKUP(B169,'[1]Blade-Export_15-08-2022_sources'!B:B,'[1]Blade-Export_15-08-2022_sources'!F:F,0,FALSE)</f>
        <v>330</v>
      </c>
      <c r="D169" s="574">
        <f>_xlfn.XLOOKUP($B169,'[1]Blade-Export_15-08-2022_sources'!$B:$B,'[1]Blade-Export_15-08-2022_sources'!G:G,0,FALSE)</f>
        <v>2296</v>
      </c>
      <c r="E169" s="574" t="str">
        <f>_xlfn.XLOOKUP($B169,'[1]Blade-Export_15-08-2022_sources'!$B:$B,'[1]Blade-Export_15-08-2022_sources'!H:H,0,FALSE)</f>
        <v xml:space="preserve">GLENMEAD JI </v>
      </c>
      <c r="F169" s="578">
        <v>351607.43</v>
      </c>
      <c r="G169" s="578">
        <v>0</v>
      </c>
      <c r="H169" s="578">
        <v>2381.63</v>
      </c>
      <c r="I169" s="578">
        <v>1432781.91</v>
      </c>
      <c r="J169" s="578">
        <v>0</v>
      </c>
      <c r="K169" s="578">
        <v>8270.9500000000007</v>
      </c>
      <c r="L169" s="578">
        <v>0</v>
      </c>
      <c r="M169" s="578">
        <v>155985</v>
      </c>
      <c r="N169" s="578">
        <v>3780</v>
      </c>
      <c r="O169" s="578">
        <v>0</v>
      </c>
      <c r="P169" s="578">
        <v>29082.38</v>
      </c>
      <c r="Q169" s="578">
        <v>0</v>
      </c>
      <c r="R169" s="578">
        <v>0</v>
      </c>
      <c r="S169" s="578">
        <v>0</v>
      </c>
      <c r="T169" s="578">
        <v>0</v>
      </c>
      <c r="U169" s="578">
        <v>25632.83</v>
      </c>
      <c r="V169" s="578">
        <v>0</v>
      </c>
      <c r="W169" s="578"/>
      <c r="X169" s="578">
        <v>0</v>
      </c>
      <c r="Y169" s="578">
        <v>0</v>
      </c>
      <c r="Z169" s="578">
        <v>0</v>
      </c>
      <c r="AA169" s="578">
        <v>0</v>
      </c>
      <c r="AB169" s="578">
        <v>12101.26</v>
      </c>
      <c r="AC169" s="578">
        <v>10630</v>
      </c>
      <c r="AD169" s="578">
        <v>47891</v>
      </c>
      <c r="AE169" s="578">
        <v>961077.95</v>
      </c>
      <c r="AF169" s="578">
        <v>0</v>
      </c>
      <c r="AG169" s="578">
        <v>109941.19</v>
      </c>
      <c r="AH169" s="578">
        <v>88854.64</v>
      </c>
      <c r="AI169" s="578">
        <v>110125.88</v>
      </c>
      <c r="AJ169" s="578">
        <v>2731.1</v>
      </c>
      <c r="AK169" s="578">
        <v>59151.93</v>
      </c>
      <c r="AL169" s="578">
        <v>5561.01</v>
      </c>
      <c r="AM169" s="578">
        <v>2704.99</v>
      </c>
      <c r="AN169" s="578">
        <v>0</v>
      </c>
      <c r="AO169" s="578">
        <v>0</v>
      </c>
      <c r="AP169" s="578">
        <v>55667</v>
      </c>
      <c r="AQ169" s="578">
        <v>2660.96</v>
      </c>
      <c r="AR169" s="578">
        <v>3374.81</v>
      </c>
      <c r="AS169" s="578">
        <v>6413.28</v>
      </c>
      <c r="AT169" s="578">
        <v>23615.83</v>
      </c>
      <c r="AU169" s="578">
        <v>30359.040000000001</v>
      </c>
      <c r="AV169" s="578">
        <v>12763.47</v>
      </c>
      <c r="AW169" s="578">
        <v>78829.7</v>
      </c>
      <c r="AX169" s="578">
        <v>18597.63</v>
      </c>
      <c r="AY169" s="578">
        <v>0</v>
      </c>
      <c r="AZ169" s="578">
        <v>3893.23</v>
      </c>
      <c r="BA169" s="578">
        <v>8421.9</v>
      </c>
      <c r="BB169" s="578">
        <v>0</v>
      </c>
      <c r="BC169" s="578">
        <v>70129.919999999998</v>
      </c>
      <c r="BD169" s="578">
        <v>76570.44</v>
      </c>
      <c r="BE169" s="578">
        <v>10825.17</v>
      </c>
      <c r="BF169" s="578">
        <v>83605.22</v>
      </c>
      <c r="BG169" s="578">
        <v>0</v>
      </c>
      <c r="BH169" s="578">
        <v>191.34</v>
      </c>
      <c r="BI169" s="578">
        <v>0</v>
      </c>
      <c r="BJ169" s="578">
        <v>0</v>
      </c>
      <c r="BK169" s="578">
        <v>0</v>
      </c>
      <c r="BL169" s="578">
        <v>7757.5</v>
      </c>
      <c r="BM169" s="578">
        <v>0</v>
      </c>
      <c r="BN169" s="578">
        <v>0</v>
      </c>
      <c r="BO169" s="578">
        <v>10000</v>
      </c>
      <c r="BP169" s="578">
        <v>0</v>
      </c>
      <c r="BQ169" s="578">
        <v>0</v>
      </c>
      <c r="BR169" s="578">
        <v>0</v>
      </c>
      <c r="BS169" s="578">
        <v>0</v>
      </c>
      <c r="BT169" s="578">
        <v>0</v>
      </c>
      <c r="BU169" s="578">
        <v>251695.12</v>
      </c>
      <c r="BV169" s="578">
        <v>10139.129999999999</v>
      </c>
      <c r="BW169" s="578">
        <v>0</v>
      </c>
      <c r="BX169" s="578">
        <v>0</v>
      </c>
      <c r="BY169" s="578">
        <v>0</v>
      </c>
      <c r="BZ169" s="578">
        <v>1726155.33</v>
      </c>
      <c r="CA169" s="578">
        <v>1826067.63</v>
      </c>
      <c r="CB169" s="578">
        <v>7757.5</v>
      </c>
      <c r="CC169" s="578">
        <v>0</v>
      </c>
      <c r="CD169" s="578">
        <v>261834.25</v>
      </c>
    </row>
    <row r="170" spans="1:82" hidden="1" x14ac:dyDescent="0.3">
      <c r="A170" s="574" t="s">
        <v>1755</v>
      </c>
      <c r="B170" s="577">
        <v>3302081</v>
      </c>
      <c r="C170" s="574">
        <f>_xlfn.XLOOKUP(B170,'[1]Blade-Export_15-08-2022_sources'!B:B,'[1]Blade-Export_15-08-2022_sources'!F:F,0,FALSE)</f>
        <v>330</v>
      </c>
      <c r="D170" s="574">
        <f>_xlfn.XLOOKUP($B170,'[1]Blade-Export_15-08-2022_sources'!$B:$B,'[1]Blade-Export_15-08-2022_sources'!G:G,0,FALSE)</f>
        <v>2081</v>
      </c>
      <c r="E170" s="574" t="str">
        <f>_xlfn.XLOOKUP($B170,'[1]Blade-Export_15-08-2022_sources'!$B:$B,'[1]Blade-Export_15-08-2022_sources'!H:H,0,FALSE)</f>
        <v>GILBERTSTONE JI NC</v>
      </c>
      <c r="F170" s="578">
        <v>325091.53000000003</v>
      </c>
      <c r="G170" s="578">
        <v>0</v>
      </c>
      <c r="H170" s="578">
        <v>7995.7</v>
      </c>
      <c r="I170" s="578">
        <v>1770446.57</v>
      </c>
      <c r="J170" s="578">
        <v>0</v>
      </c>
      <c r="K170" s="578">
        <v>32939.379999999997</v>
      </c>
      <c r="L170" s="578">
        <v>0</v>
      </c>
      <c r="M170" s="578">
        <v>177815</v>
      </c>
      <c r="N170" s="578">
        <v>3957.19</v>
      </c>
      <c r="O170" s="578">
        <v>0</v>
      </c>
      <c r="P170" s="578">
        <v>50010.6</v>
      </c>
      <c r="Q170" s="578">
        <v>197.54</v>
      </c>
      <c r="R170" s="578">
        <v>0</v>
      </c>
      <c r="S170" s="578">
        <v>0</v>
      </c>
      <c r="T170" s="578">
        <v>0</v>
      </c>
      <c r="U170" s="578">
        <v>2950.56</v>
      </c>
      <c r="V170" s="578">
        <v>0</v>
      </c>
      <c r="W170" s="578"/>
      <c r="X170" s="578">
        <v>0</v>
      </c>
      <c r="Y170" s="578">
        <v>0</v>
      </c>
      <c r="Z170" s="578">
        <v>0</v>
      </c>
      <c r="AA170" s="578">
        <v>0</v>
      </c>
      <c r="AB170" s="578">
        <v>14635.97</v>
      </c>
      <c r="AC170" s="578">
        <v>13400</v>
      </c>
      <c r="AD170" s="578">
        <v>57625</v>
      </c>
      <c r="AE170" s="578">
        <v>1095974.23</v>
      </c>
      <c r="AF170" s="578">
        <v>0</v>
      </c>
      <c r="AG170" s="578">
        <v>289894.98</v>
      </c>
      <c r="AH170" s="578">
        <v>31458.85</v>
      </c>
      <c r="AI170" s="578">
        <v>162057.44</v>
      </c>
      <c r="AJ170" s="578">
        <v>0</v>
      </c>
      <c r="AK170" s="578">
        <v>77726.460000000006</v>
      </c>
      <c r="AL170" s="578">
        <v>719.4</v>
      </c>
      <c r="AM170" s="578">
        <v>1668.75</v>
      </c>
      <c r="AN170" s="578">
        <v>0</v>
      </c>
      <c r="AO170" s="578">
        <v>0</v>
      </c>
      <c r="AP170" s="578">
        <v>51671.4</v>
      </c>
      <c r="AQ170" s="578">
        <v>5827.44</v>
      </c>
      <c r="AR170" s="578">
        <v>34011.379999999997</v>
      </c>
      <c r="AS170" s="578">
        <v>14520.01</v>
      </c>
      <c r="AT170" s="578">
        <v>20531.59</v>
      </c>
      <c r="AU170" s="578">
        <v>40135.68</v>
      </c>
      <c r="AV170" s="578">
        <v>8005.12</v>
      </c>
      <c r="AW170" s="578">
        <v>52246.13</v>
      </c>
      <c r="AX170" s="578">
        <v>21788.86</v>
      </c>
      <c r="AY170" s="578">
        <v>0</v>
      </c>
      <c r="AZ170" s="578">
        <v>11391.33</v>
      </c>
      <c r="BA170" s="578">
        <v>8200</v>
      </c>
      <c r="BB170" s="578">
        <v>0</v>
      </c>
      <c r="BC170" s="578">
        <v>26207.02</v>
      </c>
      <c r="BD170" s="578">
        <v>137046.26</v>
      </c>
      <c r="BE170" s="578">
        <v>0</v>
      </c>
      <c r="BF170" s="578">
        <v>193272.27</v>
      </c>
      <c r="BG170" s="578">
        <v>0</v>
      </c>
      <c r="BH170" s="578">
        <v>0</v>
      </c>
      <c r="BI170" s="578">
        <v>23416.48</v>
      </c>
      <c r="BJ170" s="578">
        <v>0</v>
      </c>
      <c r="BK170" s="578">
        <v>0</v>
      </c>
      <c r="BL170" s="578">
        <v>8875.75</v>
      </c>
      <c r="BM170" s="578">
        <v>0</v>
      </c>
      <c r="BN170" s="578">
        <v>0</v>
      </c>
      <c r="BO170" s="578">
        <v>10000</v>
      </c>
      <c r="BP170" s="578">
        <v>0</v>
      </c>
      <c r="BQ170" s="578">
        <v>0</v>
      </c>
      <c r="BR170" s="578">
        <v>0</v>
      </c>
      <c r="BS170" s="578">
        <v>0</v>
      </c>
      <c r="BT170" s="578">
        <v>0</v>
      </c>
      <c r="BU170" s="578">
        <v>141298.26</v>
      </c>
      <c r="BV170" s="578">
        <v>16871.45</v>
      </c>
      <c r="BW170" s="578">
        <v>0</v>
      </c>
      <c r="BX170" s="578">
        <v>0</v>
      </c>
      <c r="BY170" s="578">
        <v>0</v>
      </c>
      <c r="BZ170" s="578">
        <v>2123977.81</v>
      </c>
      <c r="CA170" s="578">
        <v>2307771.08</v>
      </c>
      <c r="CB170" s="578">
        <v>8875.75</v>
      </c>
      <c r="CC170" s="578">
        <v>0</v>
      </c>
      <c r="CD170" s="578">
        <v>158169.71</v>
      </c>
    </row>
    <row r="171" spans="1:82" hidden="1" x14ac:dyDescent="0.3">
      <c r="A171" s="574" t="s">
        <v>1756</v>
      </c>
      <c r="B171" s="577">
        <v>3302079</v>
      </c>
      <c r="C171" s="574">
        <f>_xlfn.XLOOKUP(B171,'[1]Blade-Export_15-08-2022_sources'!B:B,'[1]Blade-Export_15-08-2022_sources'!F:F,0,FALSE)</f>
        <v>330</v>
      </c>
      <c r="D171" s="574">
        <f>_xlfn.XLOOKUP($B171,'[1]Blade-Export_15-08-2022_sources'!$B:$B,'[1]Blade-Export_15-08-2022_sources'!G:G,0,FALSE)</f>
        <v>2079</v>
      </c>
      <c r="E171" s="574" t="str">
        <f>_xlfn.XLOOKUP($B171,'[1]Blade-Export_15-08-2022_sources'!$B:$B,'[1]Blade-Export_15-08-2022_sources'!H:H,0,FALSE)</f>
        <v xml:space="preserve">GEORGE DIXON JI </v>
      </c>
      <c r="F171" s="578">
        <v>6484.1</v>
      </c>
      <c r="G171" s="578">
        <v>0</v>
      </c>
      <c r="H171" s="578">
        <v>6778.96</v>
      </c>
      <c r="I171" s="578">
        <v>1863759.69</v>
      </c>
      <c r="J171" s="578">
        <v>0</v>
      </c>
      <c r="K171" s="578">
        <v>85309.59</v>
      </c>
      <c r="L171" s="578">
        <v>0</v>
      </c>
      <c r="M171" s="578">
        <v>266310</v>
      </c>
      <c r="N171" s="578">
        <v>5729.06</v>
      </c>
      <c r="O171" s="578">
        <v>0</v>
      </c>
      <c r="P171" s="578">
        <v>30631.19</v>
      </c>
      <c r="Q171" s="578">
        <v>9.08</v>
      </c>
      <c r="R171" s="578">
        <v>0</v>
      </c>
      <c r="S171" s="578">
        <v>0</v>
      </c>
      <c r="T171" s="578">
        <v>0</v>
      </c>
      <c r="U171" s="578">
        <v>3657.01</v>
      </c>
      <c r="V171" s="578">
        <v>0</v>
      </c>
      <c r="W171" s="578"/>
      <c r="X171" s="578">
        <v>0</v>
      </c>
      <c r="Y171" s="578">
        <v>0</v>
      </c>
      <c r="Z171" s="578">
        <v>0</v>
      </c>
      <c r="AA171" s="578">
        <v>0</v>
      </c>
      <c r="AB171" s="578">
        <v>22110.94</v>
      </c>
      <c r="AC171" s="578">
        <v>12500</v>
      </c>
      <c r="AD171" s="578">
        <v>65974</v>
      </c>
      <c r="AE171" s="578">
        <v>1138507.27</v>
      </c>
      <c r="AF171" s="578">
        <v>0</v>
      </c>
      <c r="AG171" s="578">
        <v>364741.62</v>
      </c>
      <c r="AH171" s="578">
        <v>39061.980000000003</v>
      </c>
      <c r="AI171" s="578">
        <v>240273.52</v>
      </c>
      <c r="AJ171" s="578">
        <v>0</v>
      </c>
      <c r="AK171" s="578">
        <v>27142.82</v>
      </c>
      <c r="AL171" s="578">
        <v>1117.7</v>
      </c>
      <c r="AM171" s="578">
        <v>879.19</v>
      </c>
      <c r="AN171" s="578">
        <v>0</v>
      </c>
      <c r="AO171" s="578">
        <v>0</v>
      </c>
      <c r="AP171" s="578">
        <v>18952.7</v>
      </c>
      <c r="AQ171" s="578">
        <v>0</v>
      </c>
      <c r="AR171" s="578">
        <v>5949.56</v>
      </c>
      <c r="AS171" s="578">
        <v>9646.3799999999992</v>
      </c>
      <c r="AT171" s="578">
        <v>26082.54</v>
      </c>
      <c r="AU171" s="578">
        <v>22441.9</v>
      </c>
      <c r="AV171" s="578">
        <v>7295</v>
      </c>
      <c r="AW171" s="578">
        <v>46170.47</v>
      </c>
      <c r="AX171" s="578">
        <v>2847.07</v>
      </c>
      <c r="AY171" s="578">
        <v>0</v>
      </c>
      <c r="AZ171" s="578">
        <v>22071.17</v>
      </c>
      <c r="BA171" s="578">
        <v>8200</v>
      </c>
      <c r="BB171" s="578">
        <v>0</v>
      </c>
      <c r="BC171" s="578">
        <v>43911</v>
      </c>
      <c r="BD171" s="578">
        <v>44795.45</v>
      </c>
      <c r="BE171" s="578">
        <v>71.58</v>
      </c>
      <c r="BF171" s="578">
        <v>246531.65</v>
      </c>
      <c r="BG171" s="578">
        <v>0</v>
      </c>
      <c r="BH171" s="578">
        <v>0</v>
      </c>
      <c r="BI171" s="578">
        <v>13467.95</v>
      </c>
      <c r="BJ171" s="578">
        <v>0</v>
      </c>
      <c r="BK171" s="578">
        <v>0</v>
      </c>
      <c r="BL171" s="578">
        <v>8488.75</v>
      </c>
      <c r="BM171" s="578">
        <v>0</v>
      </c>
      <c r="BN171" s="578">
        <v>0</v>
      </c>
      <c r="BO171" s="578">
        <v>10000</v>
      </c>
      <c r="BP171" s="578">
        <v>0</v>
      </c>
      <c r="BQ171" s="578">
        <v>4785</v>
      </c>
      <c r="BR171" s="578">
        <v>0</v>
      </c>
      <c r="BS171" s="578">
        <v>0</v>
      </c>
      <c r="BT171" s="578">
        <v>0</v>
      </c>
      <c r="BU171" s="578">
        <v>32316.15</v>
      </c>
      <c r="BV171" s="578">
        <v>10482.709999999999</v>
      </c>
      <c r="BW171" s="578">
        <v>0</v>
      </c>
      <c r="BX171" s="578">
        <v>0</v>
      </c>
      <c r="BY171" s="578">
        <v>0</v>
      </c>
      <c r="BZ171" s="578">
        <v>2355990.56</v>
      </c>
      <c r="CA171" s="578">
        <v>2330158.52</v>
      </c>
      <c r="CB171" s="578">
        <v>8488.75</v>
      </c>
      <c r="CC171" s="578">
        <v>4785</v>
      </c>
      <c r="CD171" s="578">
        <v>42798.86</v>
      </c>
    </row>
    <row r="172" spans="1:82" hidden="1" x14ac:dyDescent="0.3">
      <c r="A172" s="574" t="s">
        <v>1757</v>
      </c>
      <c r="B172" s="577">
        <v>3301006</v>
      </c>
      <c r="C172" s="574">
        <f>_xlfn.XLOOKUP(B172,'[1]Blade-Export_15-08-2022_sources'!B:B,'[1]Blade-Export_15-08-2022_sources'!F:F,0,FALSE)</f>
        <v>330</v>
      </c>
      <c r="D172" s="574">
        <f>_xlfn.XLOOKUP($B172,'[1]Blade-Export_15-08-2022_sources'!$B:$B,'[1]Blade-Export_15-08-2022_sources'!G:G,0,FALSE)</f>
        <v>1006</v>
      </c>
      <c r="E172" s="574" t="str">
        <f>_xlfn.XLOOKUP($B172,'[1]Blade-Export_15-08-2022_sources'!$B:$B,'[1]Blade-Export_15-08-2022_sources'!H:H,0,FALSE)</f>
        <v>GARRETTS GREEN Nurs</v>
      </c>
      <c r="F172" s="578">
        <v>83296.160000000003</v>
      </c>
      <c r="G172" s="578">
        <v>0</v>
      </c>
      <c r="H172" s="578">
        <v>12499.46</v>
      </c>
      <c r="I172" s="578">
        <v>506053.26</v>
      </c>
      <c r="J172" s="578">
        <v>0</v>
      </c>
      <c r="K172" s="578">
        <v>77721.17</v>
      </c>
      <c r="L172" s="578">
        <v>0</v>
      </c>
      <c r="M172" s="578">
        <v>0</v>
      </c>
      <c r="N172" s="578">
        <v>0</v>
      </c>
      <c r="O172" s="578">
        <v>0</v>
      </c>
      <c r="P172" s="578">
        <v>101483.96</v>
      </c>
      <c r="Q172" s="578">
        <v>116.61</v>
      </c>
      <c r="R172" s="578">
        <v>0</v>
      </c>
      <c r="S172" s="578">
        <v>0</v>
      </c>
      <c r="T172" s="578">
        <v>0</v>
      </c>
      <c r="U172" s="578">
        <v>0</v>
      </c>
      <c r="V172" s="578">
        <v>0</v>
      </c>
      <c r="W172" s="578"/>
      <c r="X172" s="578">
        <v>0</v>
      </c>
      <c r="Y172" s="578">
        <v>0</v>
      </c>
      <c r="Z172" s="578">
        <v>0</v>
      </c>
      <c r="AA172" s="578">
        <v>0</v>
      </c>
      <c r="AB172" s="578">
        <v>0</v>
      </c>
      <c r="AC172" s="578">
        <v>0</v>
      </c>
      <c r="AD172" s="578">
        <v>0</v>
      </c>
      <c r="AE172" s="578">
        <v>133614.43</v>
      </c>
      <c r="AF172" s="578">
        <v>0</v>
      </c>
      <c r="AG172" s="578">
        <v>134440</v>
      </c>
      <c r="AH172" s="578">
        <v>36855.050000000003</v>
      </c>
      <c r="AI172" s="578">
        <v>96662.87</v>
      </c>
      <c r="AJ172" s="578">
        <v>0</v>
      </c>
      <c r="AK172" s="578">
        <v>27816.54</v>
      </c>
      <c r="AL172" s="578">
        <v>270.2</v>
      </c>
      <c r="AM172" s="578">
        <v>2097</v>
      </c>
      <c r="AN172" s="578">
        <v>0</v>
      </c>
      <c r="AO172" s="578">
        <v>0</v>
      </c>
      <c r="AP172" s="578">
        <v>8147.48</v>
      </c>
      <c r="AQ172" s="578">
        <v>0</v>
      </c>
      <c r="AR172" s="578">
        <v>40.85</v>
      </c>
      <c r="AS172" s="578">
        <v>1441.36</v>
      </c>
      <c r="AT172" s="578">
        <v>4705.7</v>
      </c>
      <c r="AU172" s="578">
        <v>2170.65</v>
      </c>
      <c r="AV172" s="578">
        <v>2886.49</v>
      </c>
      <c r="AW172" s="578">
        <v>16927.939999999999</v>
      </c>
      <c r="AX172" s="578">
        <v>1585.22</v>
      </c>
      <c r="AY172" s="578">
        <v>0</v>
      </c>
      <c r="AZ172" s="578">
        <v>6072.08</v>
      </c>
      <c r="BA172" s="578">
        <v>2850</v>
      </c>
      <c r="BB172" s="578">
        <v>0</v>
      </c>
      <c r="BC172" s="578">
        <v>28.1</v>
      </c>
      <c r="BD172" s="578">
        <v>31393.37</v>
      </c>
      <c r="BE172" s="578">
        <v>334</v>
      </c>
      <c r="BF172" s="578">
        <v>74932.929999999993</v>
      </c>
      <c r="BG172" s="578">
        <v>0</v>
      </c>
      <c r="BH172" s="578">
        <v>0</v>
      </c>
      <c r="BI172" s="578">
        <v>0</v>
      </c>
      <c r="BJ172" s="578">
        <v>0</v>
      </c>
      <c r="BK172" s="578">
        <v>0</v>
      </c>
      <c r="BL172" s="578">
        <v>4735.75</v>
      </c>
      <c r="BM172" s="578">
        <v>0</v>
      </c>
      <c r="BN172" s="578">
        <v>0</v>
      </c>
      <c r="BO172" s="578">
        <v>10000</v>
      </c>
      <c r="BP172" s="578">
        <v>0</v>
      </c>
      <c r="BQ172" s="578">
        <v>7443.16</v>
      </c>
      <c r="BR172" s="578">
        <v>0</v>
      </c>
      <c r="BS172" s="578">
        <v>0</v>
      </c>
      <c r="BT172" s="578">
        <v>0</v>
      </c>
      <c r="BU172" s="578">
        <v>183398.91</v>
      </c>
      <c r="BV172" s="578">
        <v>9792.0499999999993</v>
      </c>
      <c r="BW172" s="578">
        <v>0</v>
      </c>
      <c r="BX172" s="578">
        <v>0</v>
      </c>
      <c r="BY172" s="578">
        <v>0</v>
      </c>
      <c r="BZ172" s="578">
        <v>685375</v>
      </c>
      <c r="CA172" s="578">
        <v>585272.26</v>
      </c>
      <c r="CB172" s="578">
        <v>4735.75</v>
      </c>
      <c r="CC172" s="578">
        <v>7443.16</v>
      </c>
      <c r="CD172" s="578">
        <v>193190.96</v>
      </c>
    </row>
    <row r="173" spans="1:82" hidden="1" x14ac:dyDescent="0.3">
      <c r="A173" s="574" t="s">
        <v>1758</v>
      </c>
      <c r="B173" s="577">
        <v>3307050</v>
      </c>
      <c r="C173" s="574">
        <f>_xlfn.XLOOKUP(B173,'[1]Blade-Export_15-08-2022_sources'!B:B,'[1]Blade-Export_15-08-2022_sources'!F:F,0,FALSE)</f>
        <v>330</v>
      </c>
      <c r="D173" s="574">
        <f>_xlfn.XLOOKUP($B173,'[1]Blade-Export_15-08-2022_sources'!$B:$B,'[1]Blade-Export_15-08-2022_sources'!G:G,0,FALSE)</f>
        <v>7050</v>
      </c>
      <c r="E173" s="574" t="str">
        <f>_xlfn.XLOOKUP($B173,'[1]Blade-Export_15-08-2022_sources'!$B:$B,'[1]Blade-Export_15-08-2022_sources'!H:H,0,FALSE)</f>
        <v>FOX HOLLIES Spec</v>
      </c>
      <c r="F173" s="578">
        <v>501785.64</v>
      </c>
      <c r="G173" s="578">
        <v>0</v>
      </c>
      <c r="H173" s="578">
        <v>-0.59</v>
      </c>
      <c r="I173" s="578">
        <v>2782407.7</v>
      </c>
      <c r="J173" s="578">
        <v>1858.67</v>
      </c>
      <c r="K173" s="578">
        <v>0</v>
      </c>
      <c r="L173" s="578">
        <v>0</v>
      </c>
      <c r="M173" s="578">
        <v>41500</v>
      </c>
      <c r="N173" s="578">
        <v>3855.47</v>
      </c>
      <c r="O173" s="578">
        <v>0</v>
      </c>
      <c r="P173" s="578">
        <v>18322.810000000001</v>
      </c>
      <c r="Q173" s="578">
        <v>702.5</v>
      </c>
      <c r="R173" s="578">
        <v>0</v>
      </c>
      <c r="S173" s="578">
        <v>0</v>
      </c>
      <c r="T173" s="578">
        <v>0</v>
      </c>
      <c r="U173" s="578">
        <v>0</v>
      </c>
      <c r="V173" s="578">
        <v>0</v>
      </c>
      <c r="W173" s="578"/>
      <c r="X173" s="578">
        <v>0</v>
      </c>
      <c r="Y173" s="578">
        <v>0</v>
      </c>
      <c r="Z173" s="578">
        <v>0</v>
      </c>
      <c r="AA173" s="578">
        <v>0</v>
      </c>
      <c r="AB173" s="578">
        <v>10795.47</v>
      </c>
      <c r="AC173" s="578">
        <v>10800</v>
      </c>
      <c r="AD173" s="578">
        <v>0</v>
      </c>
      <c r="AE173" s="578">
        <v>961283.72</v>
      </c>
      <c r="AF173" s="578">
        <v>0</v>
      </c>
      <c r="AG173" s="578">
        <v>932791.73</v>
      </c>
      <c r="AH173" s="578">
        <v>0</v>
      </c>
      <c r="AI173" s="578">
        <v>190092.13</v>
      </c>
      <c r="AJ173" s="578">
        <v>0</v>
      </c>
      <c r="AK173" s="578">
        <v>85961.45</v>
      </c>
      <c r="AL173" s="578">
        <v>2952.21</v>
      </c>
      <c r="AM173" s="578">
        <v>10399.299999999999</v>
      </c>
      <c r="AN173" s="578">
        <v>0</v>
      </c>
      <c r="AO173" s="578">
        <v>0</v>
      </c>
      <c r="AP173" s="578">
        <v>98910.71</v>
      </c>
      <c r="AQ173" s="578">
        <v>1984.25</v>
      </c>
      <c r="AR173" s="578">
        <v>27548.89</v>
      </c>
      <c r="AS173" s="578">
        <v>2645.71</v>
      </c>
      <c r="AT173" s="578">
        <v>6833.32</v>
      </c>
      <c r="AU173" s="578">
        <v>0</v>
      </c>
      <c r="AV173" s="578">
        <v>1907.91</v>
      </c>
      <c r="AW173" s="578">
        <v>51466.18</v>
      </c>
      <c r="AX173" s="578">
        <v>5340.93</v>
      </c>
      <c r="AY173" s="578">
        <v>0</v>
      </c>
      <c r="AZ173" s="578">
        <v>15548.04</v>
      </c>
      <c r="BA173" s="578">
        <v>2850</v>
      </c>
      <c r="BB173" s="578">
        <v>0</v>
      </c>
      <c r="BC173" s="578">
        <v>69594.39</v>
      </c>
      <c r="BD173" s="578">
        <v>85634.43</v>
      </c>
      <c r="BE173" s="578">
        <v>8900.75</v>
      </c>
      <c r="BF173" s="578">
        <v>130682.38</v>
      </c>
      <c r="BG173" s="578">
        <v>0</v>
      </c>
      <c r="BH173" s="578">
        <v>0</v>
      </c>
      <c r="BI173" s="578">
        <v>14506.2</v>
      </c>
      <c r="BJ173" s="578">
        <v>0</v>
      </c>
      <c r="BK173" s="578">
        <v>0</v>
      </c>
      <c r="BL173" s="578">
        <v>9113.1200000000008</v>
      </c>
      <c r="BM173" s="578">
        <v>0</v>
      </c>
      <c r="BN173" s="578">
        <v>0</v>
      </c>
      <c r="BO173" s="578">
        <v>10000</v>
      </c>
      <c r="BP173" s="578">
        <v>0</v>
      </c>
      <c r="BQ173" s="578">
        <v>5565.83</v>
      </c>
      <c r="BR173" s="578">
        <v>0</v>
      </c>
      <c r="BS173" s="578">
        <v>1219</v>
      </c>
      <c r="BT173" s="578">
        <v>0</v>
      </c>
      <c r="BU173" s="578">
        <v>664193.63</v>
      </c>
      <c r="BV173" s="578">
        <v>2327.6999999999998</v>
      </c>
      <c r="BW173" s="578">
        <v>0</v>
      </c>
      <c r="BX173" s="578">
        <v>0</v>
      </c>
      <c r="BY173" s="578">
        <v>0</v>
      </c>
      <c r="BZ173" s="578">
        <v>2870242.62</v>
      </c>
      <c r="CA173" s="578">
        <v>2707834.63</v>
      </c>
      <c r="CB173" s="578">
        <v>9113.1200000000008</v>
      </c>
      <c r="CC173" s="578">
        <v>6784.83</v>
      </c>
      <c r="CD173" s="578">
        <v>666521.32999999996</v>
      </c>
    </row>
    <row r="174" spans="1:82" hidden="1" x14ac:dyDescent="0.3">
      <c r="A174" s="574" t="s">
        <v>1759</v>
      </c>
      <c r="B174" s="577">
        <v>3303435</v>
      </c>
      <c r="C174" s="574">
        <f>_xlfn.XLOOKUP(B174,'[1]Blade-Export_15-08-2022_sources'!B:B,'[1]Blade-Export_15-08-2022_sources'!F:F,0,FALSE)</f>
        <v>330</v>
      </c>
      <c r="D174" s="574">
        <f>_xlfn.XLOOKUP($B174,'[1]Blade-Export_15-08-2022_sources'!$B:$B,'[1]Blade-Export_15-08-2022_sources'!G:G,0,FALSE)</f>
        <v>3435</v>
      </c>
      <c r="E174" s="574" t="str">
        <f>_xlfn.XLOOKUP($B174,'[1]Blade-Export_15-08-2022_sources'!$B:$B,'[1]Blade-Export_15-08-2022_sources'!H:H,0,FALSE)</f>
        <v xml:space="preserve">FOUR OAKS JI </v>
      </c>
      <c r="F174" s="578">
        <v>216652.97</v>
      </c>
      <c r="G174" s="578">
        <v>0</v>
      </c>
      <c r="H174" s="578">
        <v>32295.51</v>
      </c>
      <c r="I174" s="578">
        <v>1781405.17</v>
      </c>
      <c r="J174" s="578">
        <v>0</v>
      </c>
      <c r="K174" s="578">
        <v>21826.63</v>
      </c>
      <c r="L174" s="578">
        <v>0</v>
      </c>
      <c r="M174" s="578">
        <v>41900</v>
      </c>
      <c r="N174" s="578">
        <v>885.94</v>
      </c>
      <c r="O174" s="578">
        <v>0</v>
      </c>
      <c r="P174" s="578">
        <v>254551.81</v>
      </c>
      <c r="Q174" s="578">
        <v>278.02</v>
      </c>
      <c r="R174" s="578">
        <v>0</v>
      </c>
      <c r="S174" s="578">
        <v>0</v>
      </c>
      <c r="T174" s="578">
        <v>0</v>
      </c>
      <c r="U174" s="578">
        <v>27970.07</v>
      </c>
      <c r="V174" s="578">
        <v>0</v>
      </c>
      <c r="W174" s="578"/>
      <c r="X174" s="578">
        <v>0</v>
      </c>
      <c r="Y174" s="578">
        <v>0</v>
      </c>
      <c r="Z174" s="578">
        <v>0</v>
      </c>
      <c r="AA174" s="578">
        <v>0</v>
      </c>
      <c r="AB174" s="578">
        <v>2770.94</v>
      </c>
      <c r="AC174" s="578">
        <v>14030</v>
      </c>
      <c r="AD174" s="578">
        <v>94673</v>
      </c>
      <c r="AE174" s="578">
        <v>1016374.95</v>
      </c>
      <c r="AF174" s="578">
        <v>0</v>
      </c>
      <c r="AG174" s="578">
        <v>260894.25</v>
      </c>
      <c r="AH174" s="578">
        <v>84822.3</v>
      </c>
      <c r="AI174" s="578">
        <v>202165.63</v>
      </c>
      <c r="AJ174" s="578">
        <v>638.08000000000004</v>
      </c>
      <c r="AK174" s="578">
        <v>91251.69</v>
      </c>
      <c r="AL174" s="578">
        <v>2551.5100000000002</v>
      </c>
      <c r="AM174" s="578">
        <v>2980</v>
      </c>
      <c r="AN174" s="578">
        <v>0</v>
      </c>
      <c r="AO174" s="578">
        <v>0</v>
      </c>
      <c r="AP174" s="578">
        <v>38621.24</v>
      </c>
      <c r="AQ174" s="578">
        <v>3749.86</v>
      </c>
      <c r="AR174" s="578">
        <v>1424.7</v>
      </c>
      <c r="AS174" s="578">
        <v>6433.5</v>
      </c>
      <c r="AT174" s="578">
        <v>25213.06</v>
      </c>
      <c r="AU174" s="578">
        <v>31388.16</v>
      </c>
      <c r="AV174" s="578">
        <v>10960.45</v>
      </c>
      <c r="AW174" s="578">
        <v>63772.1</v>
      </c>
      <c r="AX174" s="578">
        <v>25299.75</v>
      </c>
      <c r="AY174" s="578">
        <v>0</v>
      </c>
      <c r="AZ174" s="578">
        <v>18415.560000000001</v>
      </c>
      <c r="BA174" s="578">
        <v>8200</v>
      </c>
      <c r="BB174" s="578">
        <v>0</v>
      </c>
      <c r="BC174" s="578">
        <v>65824.320000000007</v>
      </c>
      <c r="BD174" s="578">
        <v>68869.41</v>
      </c>
      <c r="BE174" s="578">
        <v>3848.04</v>
      </c>
      <c r="BF174" s="578">
        <v>211601.97</v>
      </c>
      <c r="BG174" s="578">
        <v>0</v>
      </c>
      <c r="BH174" s="578">
        <v>0</v>
      </c>
      <c r="BI174" s="578">
        <v>12778.73</v>
      </c>
      <c r="BJ174" s="578">
        <v>0</v>
      </c>
      <c r="BK174" s="578">
        <v>0</v>
      </c>
      <c r="BL174" s="578">
        <v>8736.25</v>
      </c>
      <c r="BM174" s="578">
        <v>0</v>
      </c>
      <c r="BN174" s="578">
        <v>0</v>
      </c>
      <c r="BO174" s="578">
        <v>10000</v>
      </c>
      <c r="BP174" s="578">
        <v>0</v>
      </c>
      <c r="BQ174" s="578">
        <v>15526.95</v>
      </c>
      <c r="BR174" s="578">
        <v>0</v>
      </c>
      <c r="BS174" s="578">
        <v>0</v>
      </c>
      <c r="BT174" s="578">
        <v>0</v>
      </c>
      <c r="BU174" s="578">
        <v>198865.29</v>
      </c>
      <c r="BV174" s="578">
        <v>25504.81</v>
      </c>
      <c r="BW174" s="578">
        <v>0</v>
      </c>
      <c r="BX174" s="578">
        <v>0</v>
      </c>
      <c r="BY174" s="578">
        <v>0</v>
      </c>
      <c r="BZ174" s="578">
        <v>2240291.58</v>
      </c>
      <c r="CA174" s="578">
        <v>2258079.2599999998</v>
      </c>
      <c r="CB174" s="578">
        <v>8736.25</v>
      </c>
      <c r="CC174" s="578">
        <v>15526.95</v>
      </c>
      <c r="CD174" s="578">
        <v>224370.1</v>
      </c>
    </row>
    <row r="175" spans="1:82" hidden="1" x14ac:dyDescent="0.3">
      <c r="A175" s="574" t="s">
        <v>1760</v>
      </c>
      <c r="B175" s="577">
        <v>3302486</v>
      </c>
      <c r="C175" s="574">
        <f>_xlfn.XLOOKUP(B175,'[1]Blade-Export_15-08-2022_sources'!B:B,'[1]Blade-Export_15-08-2022_sources'!F:F,0,FALSE)</f>
        <v>330</v>
      </c>
      <c r="D175" s="574">
        <f>_xlfn.XLOOKUP($B175,'[1]Blade-Export_15-08-2022_sources'!$B:$B,'[1]Blade-Export_15-08-2022_sources'!G:G,0,FALSE)</f>
        <v>2486</v>
      </c>
      <c r="E175" s="574" t="str">
        <f>_xlfn.XLOOKUP($B175,'[1]Blade-Export_15-08-2022_sources'!$B:$B,'[1]Blade-Export_15-08-2022_sources'!H:H,0,FALSE)</f>
        <v>FORESTDALE JI NC</v>
      </c>
      <c r="F175" s="578">
        <v>241382.41</v>
      </c>
      <c r="G175" s="578">
        <v>0</v>
      </c>
      <c r="H175" s="578">
        <v>7450.68</v>
      </c>
      <c r="I175" s="578">
        <v>1268342.1100000001</v>
      </c>
      <c r="J175" s="578">
        <v>0</v>
      </c>
      <c r="K175" s="578">
        <v>34342.1</v>
      </c>
      <c r="L175" s="578">
        <v>0</v>
      </c>
      <c r="M175" s="578">
        <v>177470</v>
      </c>
      <c r="N175" s="578">
        <v>4016.25</v>
      </c>
      <c r="O175" s="578">
        <v>0</v>
      </c>
      <c r="P175" s="578">
        <v>24178.57</v>
      </c>
      <c r="Q175" s="578">
        <v>276.74</v>
      </c>
      <c r="R175" s="578">
        <v>592.9</v>
      </c>
      <c r="S175" s="578">
        <v>0</v>
      </c>
      <c r="T175" s="578">
        <v>0</v>
      </c>
      <c r="U175" s="578">
        <v>1825.6</v>
      </c>
      <c r="V175" s="578">
        <v>0</v>
      </c>
      <c r="W175" s="578"/>
      <c r="X175" s="578">
        <v>0</v>
      </c>
      <c r="Y175" s="578">
        <v>0</v>
      </c>
      <c r="Z175" s="578">
        <v>0</v>
      </c>
      <c r="AA175" s="578">
        <v>0</v>
      </c>
      <c r="AB175" s="578">
        <v>14641.25</v>
      </c>
      <c r="AC175" s="578">
        <v>6500</v>
      </c>
      <c r="AD175" s="578">
        <v>27101</v>
      </c>
      <c r="AE175" s="578">
        <v>559477.37</v>
      </c>
      <c r="AF175" s="578">
        <v>0</v>
      </c>
      <c r="AG175" s="578">
        <v>342194.46</v>
      </c>
      <c r="AH175" s="578">
        <v>29448.28</v>
      </c>
      <c r="AI175" s="578">
        <v>143321.22</v>
      </c>
      <c r="AJ175" s="578">
        <v>0</v>
      </c>
      <c r="AK175" s="578">
        <v>64580.37</v>
      </c>
      <c r="AL175" s="578">
        <v>3778.3</v>
      </c>
      <c r="AM175" s="578">
        <v>5720.33</v>
      </c>
      <c r="AN175" s="578">
        <v>0</v>
      </c>
      <c r="AO175" s="578">
        <v>0</v>
      </c>
      <c r="AP175" s="578">
        <v>28250.58</v>
      </c>
      <c r="AQ175" s="578">
        <v>10052.16</v>
      </c>
      <c r="AR175" s="578">
        <v>40257.480000000003</v>
      </c>
      <c r="AS175" s="578">
        <v>8033.08</v>
      </c>
      <c r="AT175" s="578">
        <v>22638.66</v>
      </c>
      <c r="AU175" s="578">
        <v>35856.89</v>
      </c>
      <c r="AV175" s="578">
        <v>12773.51</v>
      </c>
      <c r="AW175" s="578">
        <v>75346.649999999994</v>
      </c>
      <c r="AX175" s="578">
        <v>28569.41</v>
      </c>
      <c r="AY175" s="578">
        <v>0</v>
      </c>
      <c r="AZ175" s="578">
        <v>12283.72</v>
      </c>
      <c r="BA175" s="578">
        <v>5161.82</v>
      </c>
      <c r="BB175" s="578">
        <v>0</v>
      </c>
      <c r="BC175" s="578">
        <v>31807.84</v>
      </c>
      <c r="BD175" s="578">
        <v>29479.81</v>
      </c>
      <c r="BE175" s="578">
        <v>6520.42</v>
      </c>
      <c r="BF175" s="578">
        <v>107169.66</v>
      </c>
      <c r="BG175" s="578">
        <v>0</v>
      </c>
      <c r="BH175" s="578">
        <v>0</v>
      </c>
      <c r="BI175" s="578">
        <v>0</v>
      </c>
      <c r="BJ175" s="578">
        <v>0</v>
      </c>
      <c r="BK175" s="578">
        <v>0</v>
      </c>
      <c r="BL175" s="578">
        <v>6389.5</v>
      </c>
      <c r="BM175" s="578">
        <v>0</v>
      </c>
      <c r="BN175" s="578">
        <v>0</v>
      </c>
      <c r="BO175" s="578">
        <v>10000</v>
      </c>
      <c r="BP175" s="578">
        <v>0</v>
      </c>
      <c r="BQ175" s="578">
        <v>0</v>
      </c>
      <c r="BR175" s="578">
        <v>0</v>
      </c>
      <c r="BS175" s="578">
        <v>0</v>
      </c>
      <c r="BT175" s="578">
        <v>0</v>
      </c>
      <c r="BU175" s="578">
        <v>197946.9</v>
      </c>
      <c r="BV175" s="578">
        <v>13840.18</v>
      </c>
      <c r="BW175" s="578">
        <v>0</v>
      </c>
      <c r="BX175" s="578">
        <v>0</v>
      </c>
      <c r="BY175" s="578">
        <v>0</v>
      </c>
      <c r="BZ175" s="578">
        <v>1559286.52</v>
      </c>
      <c r="CA175" s="578">
        <v>1602722.02</v>
      </c>
      <c r="CB175" s="578">
        <v>6389.5</v>
      </c>
      <c r="CC175" s="578">
        <v>0</v>
      </c>
      <c r="CD175" s="578">
        <v>211787.08</v>
      </c>
    </row>
    <row r="176" spans="1:82" hidden="1" x14ac:dyDescent="0.3">
      <c r="A176" s="574" t="s">
        <v>1761</v>
      </c>
      <c r="B176" s="577">
        <v>3302294</v>
      </c>
      <c r="C176" s="574">
        <f>_xlfn.XLOOKUP(B176,'[1]Blade-Export_15-08-2022_sources'!B:B,'[1]Blade-Export_15-08-2022_sources'!F:F,0,FALSE)</f>
        <v>330</v>
      </c>
      <c r="D176" s="574">
        <f>_xlfn.XLOOKUP($B176,'[1]Blade-Export_15-08-2022_sources'!$B:$B,'[1]Blade-Export_15-08-2022_sources'!G:G,0,FALSE)</f>
        <v>2294</v>
      </c>
      <c r="E176" s="574" t="str">
        <f>_xlfn.XLOOKUP($B176,'[1]Blade-Export_15-08-2022_sources'!$B:$B,'[1]Blade-Export_15-08-2022_sources'!H:H,0,FALSE)</f>
        <v xml:space="preserve">FEATHERSTONE JI </v>
      </c>
      <c r="F176" s="578">
        <v>1007881.32</v>
      </c>
      <c r="G176" s="578">
        <v>0</v>
      </c>
      <c r="H176" s="578">
        <v>7948.54</v>
      </c>
      <c r="I176" s="578">
        <v>1924995.1</v>
      </c>
      <c r="J176" s="578">
        <v>0</v>
      </c>
      <c r="K176" s="578">
        <v>33844.85</v>
      </c>
      <c r="L176" s="578">
        <v>0</v>
      </c>
      <c r="M176" s="578">
        <v>224270</v>
      </c>
      <c r="N176" s="578">
        <v>5256.56</v>
      </c>
      <c r="O176" s="578">
        <v>0</v>
      </c>
      <c r="P176" s="578">
        <v>38348.019999999997</v>
      </c>
      <c r="Q176" s="578">
        <v>1411.03</v>
      </c>
      <c r="R176" s="578">
        <v>0</v>
      </c>
      <c r="S176" s="578">
        <v>0</v>
      </c>
      <c r="T176" s="578">
        <v>0</v>
      </c>
      <c r="U176" s="578">
        <v>0</v>
      </c>
      <c r="V176" s="578">
        <v>0</v>
      </c>
      <c r="W176" s="578"/>
      <c r="X176" s="578">
        <v>0</v>
      </c>
      <c r="Y176" s="578">
        <v>0</v>
      </c>
      <c r="Z176" s="578">
        <v>0</v>
      </c>
      <c r="AA176" s="578">
        <v>0</v>
      </c>
      <c r="AB176" s="578">
        <v>18491.560000000001</v>
      </c>
      <c r="AC176" s="578">
        <v>13500</v>
      </c>
      <c r="AD176" s="578">
        <v>60249</v>
      </c>
      <c r="AE176" s="578">
        <v>928614.43</v>
      </c>
      <c r="AF176" s="578">
        <v>0</v>
      </c>
      <c r="AG176" s="578">
        <v>331939.11</v>
      </c>
      <c r="AH176" s="578">
        <v>102522.04</v>
      </c>
      <c r="AI176" s="578">
        <v>102933.65</v>
      </c>
      <c r="AJ176" s="578">
        <v>0</v>
      </c>
      <c r="AK176" s="578">
        <v>67238.69</v>
      </c>
      <c r="AL176" s="578">
        <v>3629.21</v>
      </c>
      <c r="AM176" s="578">
        <v>14185.67</v>
      </c>
      <c r="AN176" s="578">
        <v>0</v>
      </c>
      <c r="AO176" s="578">
        <v>0</v>
      </c>
      <c r="AP176" s="578">
        <v>66729.39</v>
      </c>
      <c r="AQ176" s="578">
        <v>106.76</v>
      </c>
      <c r="AR176" s="578">
        <v>9718.36</v>
      </c>
      <c r="AS176" s="578">
        <v>18086.009999999998</v>
      </c>
      <c r="AT176" s="578">
        <v>31398.55</v>
      </c>
      <c r="AU176" s="578">
        <v>27271.68</v>
      </c>
      <c r="AV176" s="578">
        <v>6683.87</v>
      </c>
      <c r="AW176" s="578">
        <v>179582.71</v>
      </c>
      <c r="AX176" s="578">
        <v>19171.240000000002</v>
      </c>
      <c r="AY176" s="578">
        <v>0</v>
      </c>
      <c r="AZ176" s="578">
        <v>11075.74</v>
      </c>
      <c r="BA176" s="578">
        <v>8200</v>
      </c>
      <c r="BB176" s="578">
        <v>0</v>
      </c>
      <c r="BC176" s="578">
        <v>27407.32</v>
      </c>
      <c r="BD176" s="578">
        <v>40995.78</v>
      </c>
      <c r="BE176" s="578">
        <v>13582</v>
      </c>
      <c r="BF176" s="578">
        <v>220273.15</v>
      </c>
      <c r="BG176" s="578">
        <v>0</v>
      </c>
      <c r="BH176" s="578">
        <v>0</v>
      </c>
      <c r="BI176" s="578">
        <v>6790.21</v>
      </c>
      <c r="BJ176" s="578">
        <v>0</v>
      </c>
      <c r="BK176" s="578">
        <v>0</v>
      </c>
      <c r="BL176" s="578">
        <v>8646.25</v>
      </c>
      <c r="BM176" s="578">
        <v>0</v>
      </c>
      <c r="BN176" s="578">
        <v>0</v>
      </c>
      <c r="BO176" s="578">
        <v>10000</v>
      </c>
      <c r="BP176" s="578">
        <v>0</v>
      </c>
      <c r="BQ176" s="578">
        <v>4328.05</v>
      </c>
      <c r="BR176" s="578">
        <v>0</v>
      </c>
      <c r="BS176" s="578">
        <v>0</v>
      </c>
      <c r="BT176" s="578">
        <v>0</v>
      </c>
      <c r="BU176" s="578">
        <v>1090111.8799999999</v>
      </c>
      <c r="BV176" s="578">
        <v>12266.74</v>
      </c>
      <c r="BW176" s="578">
        <v>0</v>
      </c>
      <c r="BX176" s="578">
        <v>0</v>
      </c>
      <c r="BY176" s="578">
        <v>0</v>
      </c>
      <c r="BZ176" s="578">
        <v>2320366.12</v>
      </c>
      <c r="CA176" s="578">
        <v>2238135.5699999998</v>
      </c>
      <c r="CB176" s="578">
        <v>8646.25</v>
      </c>
      <c r="CC176" s="578">
        <v>4328.05</v>
      </c>
      <c r="CD176" s="578">
        <v>1102378.6200000001</v>
      </c>
    </row>
    <row r="177" spans="1:82" hidden="1" x14ac:dyDescent="0.3">
      <c r="A177" s="574" t="s">
        <v>1762</v>
      </c>
      <c r="B177" s="577">
        <v>3301026</v>
      </c>
      <c r="C177" s="574">
        <f>_xlfn.XLOOKUP(B177,'[1]Blade-Export_15-08-2022_sources'!B:B,'[1]Blade-Export_15-08-2022_sources'!F:F,0,FALSE)</f>
        <v>330</v>
      </c>
      <c r="D177" s="574">
        <f>_xlfn.XLOOKUP($B177,'[1]Blade-Export_15-08-2022_sources'!$B:$B,'[1]Blade-Export_15-08-2022_sources'!G:G,0,FALSE)</f>
        <v>1026</v>
      </c>
      <c r="E177" s="574" t="str">
        <f>_xlfn.XLOOKUP($B177,'[1]Blade-Export_15-08-2022_sources'!$B:$B,'[1]Blade-Export_15-08-2022_sources'!H:H,0,FALSE)</f>
        <v>FEATHERSTONE Nurs</v>
      </c>
      <c r="F177" s="578">
        <v>29913.97</v>
      </c>
      <c r="G177" s="578">
        <v>0</v>
      </c>
      <c r="H177" s="578">
        <v>13476.12</v>
      </c>
      <c r="I177" s="578">
        <v>422102.71</v>
      </c>
      <c r="J177" s="578">
        <v>0</v>
      </c>
      <c r="K177" s="578">
        <v>0</v>
      </c>
      <c r="L177" s="578">
        <v>0</v>
      </c>
      <c r="M177" s="578">
        <v>0</v>
      </c>
      <c r="N177" s="578">
        <v>0</v>
      </c>
      <c r="O177" s="578">
        <v>0</v>
      </c>
      <c r="P177" s="578">
        <v>266305.7</v>
      </c>
      <c r="Q177" s="578">
        <v>41.88</v>
      </c>
      <c r="R177" s="578">
        <v>0</v>
      </c>
      <c r="S177" s="578">
        <v>0</v>
      </c>
      <c r="T177" s="578">
        <v>0</v>
      </c>
      <c r="U177" s="578">
        <v>11004.13</v>
      </c>
      <c r="V177" s="578">
        <v>0</v>
      </c>
      <c r="W177" s="578"/>
      <c r="X177" s="578">
        <v>0</v>
      </c>
      <c r="Y177" s="578">
        <v>0</v>
      </c>
      <c r="Z177" s="578">
        <v>0</v>
      </c>
      <c r="AA177" s="578">
        <v>0</v>
      </c>
      <c r="AB177" s="578">
        <v>0</v>
      </c>
      <c r="AC177" s="578">
        <v>0</v>
      </c>
      <c r="AD177" s="578">
        <v>0</v>
      </c>
      <c r="AE177" s="578">
        <v>139907.53</v>
      </c>
      <c r="AF177" s="578">
        <v>1377.45</v>
      </c>
      <c r="AG177" s="578">
        <v>141649.38</v>
      </c>
      <c r="AH177" s="578">
        <v>20194</v>
      </c>
      <c r="AI177" s="578">
        <v>54202.66</v>
      </c>
      <c r="AJ177" s="578">
        <v>0</v>
      </c>
      <c r="AK177" s="578">
        <v>29957.66</v>
      </c>
      <c r="AL177" s="578">
        <v>390.8</v>
      </c>
      <c r="AM177" s="578">
        <v>113</v>
      </c>
      <c r="AN177" s="578">
        <v>0</v>
      </c>
      <c r="AO177" s="578">
        <v>0</v>
      </c>
      <c r="AP177" s="578">
        <v>8895.99</v>
      </c>
      <c r="AQ177" s="578">
        <v>958.1</v>
      </c>
      <c r="AR177" s="578">
        <v>5108.93</v>
      </c>
      <c r="AS177" s="578">
        <v>1300.49</v>
      </c>
      <c r="AT177" s="578">
        <v>7463.38</v>
      </c>
      <c r="AU177" s="578">
        <v>4241.5</v>
      </c>
      <c r="AV177" s="578">
        <v>1414.6</v>
      </c>
      <c r="AW177" s="578">
        <v>6886.45</v>
      </c>
      <c r="AX177" s="578">
        <v>1241.19</v>
      </c>
      <c r="AY177" s="578">
        <v>0</v>
      </c>
      <c r="AZ177" s="578">
        <v>4756.92</v>
      </c>
      <c r="BA177" s="578">
        <v>2850</v>
      </c>
      <c r="BB177" s="578">
        <v>0</v>
      </c>
      <c r="BC177" s="578">
        <v>8925.99</v>
      </c>
      <c r="BD177" s="578">
        <v>7717</v>
      </c>
      <c r="BE177" s="578">
        <v>280.31</v>
      </c>
      <c r="BF177" s="578">
        <v>56293.599999999999</v>
      </c>
      <c r="BG177" s="578">
        <v>0</v>
      </c>
      <c r="BH177" s="578">
        <v>0</v>
      </c>
      <c r="BI177" s="578">
        <v>0</v>
      </c>
      <c r="BJ177" s="578">
        <v>0</v>
      </c>
      <c r="BK177" s="578">
        <v>0</v>
      </c>
      <c r="BL177" s="578">
        <v>4776.25</v>
      </c>
      <c r="BM177" s="578">
        <v>0</v>
      </c>
      <c r="BN177" s="578">
        <v>0</v>
      </c>
      <c r="BO177" s="578">
        <v>10000</v>
      </c>
      <c r="BP177" s="578">
        <v>0</v>
      </c>
      <c r="BQ177" s="578">
        <v>3950.92</v>
      </c>
      <c r="BR177" s="578">
        <v>0</v>
      </c>
      <c r="BS177" s="578">
        <v>0</v>
      </c>
      <c r="BT177" s="578">
        <v>0</v>
      </c>
      <c r="BU177" s="578">
        <v>223241.45</v>
      </c>
      <c r="BV177" s="578">
        <v>14301.45</v>
      </c>
      <c r="BW177" s="578">
        <v>0</v>
      </c>
      <c r="BX177" s="578">
        <v>0</v>
      </c>
      <c r="BY177" s="578">
        <v>0</v>
      </c>
      <c r="BZ177" s="578">
        <v>699454.42</v>
      </c>
      <c r="CA177" s="578">
        <v>506126.93</v>
      </c>
      <c r="CB177" s="578">
        <v>4776.25</v>
      </c>
      <c r="CC177" s="578">
        <v>3950.92</v>
      </c>
      <c r="CD177" s="578">
        <v>237542.9</v>
      </c>
    </row>
    <row r="178" spans="1:82" hidden="1" x14ac:dyDescent="0.3">
      <c r="A178" s="574" t="s">
        <v>1763</v>
      </c>
      <c r="B178" s="577">
        <v>3303321</v>
      </c>
      <c r="C178" s="574">
        <f>_xlfn.XLOOKUP(B178,'[1]Blade-Export_15-08-2022_sources'!B:B,'[1]Blade-Export_15-08-2022_sources'!F:F,0,FALSE)</f>
        <v>330</v>
      </c>
      <c r="D178" s="574">
        <f>_xlfn.XLOOKUP($B178,'[1]Blade-Export_15-08-2022_sources'!$B:$B,'[1]Blade-Export_15-08-2022_sources'!G:G,0,FALSE)</f>
        <v>3321</v>
      </c>
      <c r="E178" s="574" t="str">
        <f>_xlfn.XLOOKUP($B178,'[1]Blade-Export_15-08-2022_sources'!$B:$B,'[1]Blade-Export_15-08-2022_sources'!H:H,0,FALSE)</f>
        <v xml:space="preserve">ENGLISH MARTYRS RC JI </v>
      </c>
      <c r="F178" s="578">
        <v>387345.32</v>
      </c>
      <c r="G178" s="578">
        <v>0</v>
      </c>
      <c r="H178" s="578">
        <v>0</v>
      </c>
      <c r="I178" s="578">
        <v>1837837.39</v>
      </c>
      <c r="J178" s="578">
        <v>0</v>
      </c>
      <c r="K178" s="578">
        <v>26314.16</v>
      </c>
      <c r="L178" s="578">
        <v>0</v>
      </c>
      <c r="M178" s="578">
        <v>162745</v>
      </c>
      <c r="N178" s="578">
        <v>3780</v>
      </c>
      <c r="O178" s="578">
        <v>0</v>
      </c>
      <c r="P178" s="578">
        <v>57933.05</v>
      </c>
      <c r="Q178" s="578">
        <v>481.02</v>
      </c>
      <c r="R178" s="578">
        <v>420.92</v>
      </c>
      <c r="S178" s="578">
        <v>0</v>
      </c>
      <c r="T178" s="578">
        <v>0</v>
      </c>
      <c r="U178" s="578">
        <v>5416.1</v>
      </c>
      <c r="V178" s="578">
        <v>0</v>
      </c>
      <c r="W178" s="578"/>
      <c r="X178" s="578">
        <v>0</v>
      </c>
      <c r="Y178" s="578">
        <v>0</v>
      </c>
      <c r="Z178" s="578">
        <v>0</v>
      </c>
      <c r="AA178" s="578">
        <v>0</v>
      </c>
      <c r="AB178" s="578">
        <v>12552.5</v>
      </c>
      <c r="AC178" s="578">
        <v>12860</v>
      </c>
      <c r="AD178" s="578">
        <v>58802</v>
      </c>
      <c r="AE178" s="578">
        <v>1005053.03</v>
      </c>
      <c r="AF178" s="578">
        <v>0</v>
      </c>
      <c r="AG178" s="578">
        <v>459876.71</v>
      </c>
      <c r="AH178" s="578">
        <v>50293.87</v>
      </c>
      <c r="AI178" s="578">
        <v>90394.64</v>
      </c>
      <c r="AJ178" s="578">
        <v>0</v>
      </c>
      <c r="AK178" s="578">
        <v>29764.43</v>
      </c>
      <c r="AL178" s="578">
        <v>709.5</v>
      </c>
      <c r="AM178" s="578">
        <v>13902.7</v>
      </c>
      <c r="AN178" s="578">
        <v>0</v>
      </c>
      <c r="AO178" s="578">
        <v>0</v>
      </c>
      <c r="AP178" s="578">
        <v>69608.22</v>
      </c>
      <c r="AQ178" s="578">
        <v>0</v>
      </c>
      <c r="AR178" s="578">
        <v>13756.48</v>
      </c>
      <c r="AS178" s="578">
        <v>1786.69</v>
      </c>
      <c r="AT178" s="578">
        <v>31147.53</v>
      </c>
      <c r="AU178" s="578">
        <v>3756.29</v>
      </c>
      <c r="AV178" s="578">
        <v>22309.83</v>
      </c>
      <c r="AW178" s="578">
        <v>122122.84</v>
      </c>
      <c r="AX178" s="578">
        <v>5924</v>
      </c>
      <c r="AY178" s="578">
        <v>0</v>
      </c>
      <c r="AZ178" s="578">
        <v>10257.41</v>
      </c>
      <c r="BA178" s="578">
        <v>12421.38</v>
      </c>
      <c r="BB178" s="578">
        <v>0</v>
      </c>
      <c r="BC178" s="578">
        <v>132720.32000000001</v>
      </c>
      <c r="BD178" s="578">
        <v>64474.18</v>
      </c>
      <c r="BE178" s="578">
        <v>8263.6200000000008</v>
      </c>
      <c r="BF178" s="578">
        <v>73876.17</v>
      </c>
      <c r="BG178" s="578">
        <v>0</v>
      </c>
      <c r="BH178" s="578">
        <v>0</v>
      </c>
      <c r="BI178" s="578">
        <v>0</v>
      </c>
      <c r="BJ178" s="578">
        <v>0</v>
      </c>
      <c r="BK178" s="578">
        <v>0</v>
      </c>
      <c r="BL178" s="578">
        <v>0</v>
      </c>
      <c r="BM178" s="578">
        <v>0</v>
      </c>
      <c r="BN178" s="578">
        <v>0</v>
      </c>
      <c r="BO178" s="578">
        <v>10000</v>
      </c>
      <c r="BP178" s="578">
        <v>0</v>
      </c>
      <c r="BQ178" s="578">
        <v>0</v>
      </c>
      <c r="BR178" s="578">
        <v>0</v>
      </c>
      <c r="BS178" s="578">
        <v>0</v>
      </c>
      <c r="BT178" s="578">
        <v>0</v>
      </c>
      <c r="BU178" s="578">
        <v>344067.63</v>
      </c>
      <c r="BV178" s="578">
        <v>0</v>
      </c>
      <c r="BW178" s="578">
        <v>0</v>
      </c>
      <c r="BX178" s="578">
        <v>0</v>
      </c>
      <c r="BY178" s="578">
        <v>0</v>
      </c>
      <c r="BZ178" s="578">
        <v>2179142.14</v>
      </c>
      <c r="CA178" s="578">
        <v>2222419.84</v>
      </c>
      <c r="CB178" s="578">
        <v>0</v>
      </c>
      <c r="CC178" s="578">
        <v>0</v>
      </c>
      <c r="CD178" s="578">
        <v>344067.63</v>
      </c>
    </row>
    <row r="179" spans="1:82" hidden="1" x14ac:dyDescent="0.3">
      <c r="A179" s="574" t="s">
        <v>1764</v>
      </c>
      <c r="B179" s="577">
        <v>3302454</v>
      </c>
      <c r="C179" s="574">
        <f>_xlfn.XLOOKUP(B179,'[1]Blade-Export_15-08-2022_sources'!B:B,'[1]Blade-Export_15-08-2022_sources'!F:F,0,FALSE)</f>
        <v>330</v>
      </c>
      <c r="D179" s="574">
        <f>_xlfn.XLOOKUP($B179,'[1]Blade-Export_15-08-2022_sources'!$B:$B,'[1]Blade-Export_15-08-2022_sources'!G:G,0,FALSE)</f>
        <v>2454</v>
      </c>
      <c r="E179" s="574" t="str">
        <f>_xlfn.XLOOKUP($B179,'[1]Blade-Export_15-08-2022_sources'!$B:$B,'[1]Blade-Export_15-08-2022_sources'!H:H,0,FALSE)</f>
        <v>ELMS FARM JI NC</v>
      </c>
      <c r="F179" s="578">
        <v>216745.12</v>
      </c>
      <c r="G179" s="578">
        <v>0</v>
      </c>
      <c r="H179" s="578">
        <v>7932.14</v>
      </c>
      <c r="I179" s="578">
        <v>1884419.83</v>
      </c>
      <c r="J179" s="578">
        <v>0</v>
      </c>
      <c r="K179" s="578">
        <v>17403.169999999998</v>
      </c>
      <c r="L179" s="578">
        <v>0</v>
      </c>
      <c r="M179" s="578">
        <v>283725</v>
      </c>
      <c r="N179" s="578">
        <v>6733.13</v>
      </c>
      <c r="O179" s="578">
        <v>0</v>
      </c>
      <c r="P179" s="578">
        <v>94080.93</v>
      </c>
      <c r="Q179" s="578">
        <v>303.44</v>
      </c>
      <c r="R179" s="578">
        <v>1092.25</v>
      </c>
      <c r="S179" s="578">
        <v>0</v>
      </c>
      <c r="T179" s="578">
        <v>0</v>
      </c>
      <c r="U179" s="578">
        <v>3407.7</v>
      </c>
      <c r="V179" s="578">
        <v>0</v>
      </c>
      <c r="W179" s="578"/>
      <c r="X179" s="578">
        <v>0</v>
      </c>
      <c r="Y179" s="578">
        <v>0</v>
      </c>
      <c r="Z179" s="578">
        <v>0</v>
      </c>
      <c r="AA179" s="578">
        <v>0</v>
      </c>
      <c r="AB179" s="578">
        <v>21595.63</v>
      </c>
      <c r="AC179" s="578">
        <v>11300</v>
      </c>
      <c r="AD179" s="578">
        <v>32320</v>
      </c>
      <c r="AE179" s="578">
        <v>1059385.8</v>
      </c>
      <c r="AF179" s="578">
        <v>0</v>
      </c>
      <c r="AG179" s="578">
        <v>328259.15000000002</v>
      </c>
      <c r="AH179" s="578">
        <v>0</v>
      </c>
      <c r="AI179" s="578">
        <v>188557.92</v>
      </c>
      <c r="AJ179" s="578">
        <v>0</v>
      </c>
      <c r="AK179" s="578">
        <v>33187.46</v>
      </c>
      <c r="AL179" s="578">
        <v>2282.2800000000002</v>
      </c>
      <c r="AM179" s="578">
        <v>3149</v>
      </c>
      <c r="AN179" s="578">
        <v>0</v>
      </c>
      <c r="AO179" s="578">
        <v>0</v>
      </c>
      <c r="AP179" s="578">
        <v>25417.919999999998</v>
      </c>
      <c r="AQ179" s="578">
        <v>3092.81</v>
      </c>
      <c r="AR179" s="578">
        <v>59821.66</v>
      </c>
      <c r="AS179" s="578">
        <v>3678.4</v>
      </c>
      <c r="AT179" s="578">
        <v>26669.61</v>
      </c>
      <c r="AU179" s="578">
        <v>24229.07</v>
      </c>
      <c r="AV179" s="578">
        <v>5287.1</v>
      </c>
      <c r="AW179" s="578">
        <v>89547.23</v>
      </c>
      <c r="AX179" s="578">
        <v>7343.6</v>
      </c>
      <c r="AY179" s="578">
        <v>0</v>
      </c>
      <c r="AZ179" s="578">
        <v>23047.72</v>
      </c>
      <c r="BA179" s="578">
        <v>8200</v>
      </c>
      <c r="BB179" s="578">
        <v>0</v>
      </c>
      <c r="BC179" s="578">
        <v>32278.57</v>
      </c>
      <c r="BD179" s="578">
        <v>21864.52</v>
      </c>
      <c r="BE179" s="578">
        <v>3530.71</v>
      </c>
      <c r="BF179" s="578">
        <v>227500.12</v>
      </c>
      <c r="BG179" s="578">
        <v>0</v>
      </c>
      <c r="BH179" s="578">
        <v>0</v>
      </c>
      <c r="BI179" s="578">
        <v>5342</v>
      </c>
      <c r="BJ179" s="578">
        <v>0</v>
      </c>
      <c r="BK179" s="578">
        <v>0</v>
      </c>
      <c r="BL179" s="578">
        <v>8065.75</v>
      </c>
      <c r="BM179" s="578">
        <v>0</v>
      </c>
      <c r="BN179" s="578">
        <v>0</v>
      </c>
      <c r="BO179" s="578">
        <v>10000</v>
      </c>
      <c r="BP179" s="578">
        <v>0</v>
      </c>
      <c r="BQ179" s="578">
        <v>4690.6000000000004</v>
      </c>
      <c r="BR179" s="578">
        <v>0</v>
      </c>
      <c r="BS179" s="578">
        <v>0</v>
      </c>
      <c r="BT179" s="578">
        <v>0</v>
      </c>
      <c r="BU179" s="578">
        <v>391453.54</v>
      </c>
      <c r="BV179" s="578">
        <v>11307.29</v>
      </c>
      <c r="BW179" s="578">
        <v>0</v>
      </c>
      <c r="BX179" s="578">
        <v>0</v>
      </c>
      <c r="BY179" s="578">
        <v>0</v>
      </c>
      <c r="BZ179" s="578">
        <v>2356381.08</v>
      </c>
      <c r="CA179" s="578">
        <v>2181672.65</v>
      </c>
      <c r="CB179" s="578">
        <v>8065.75</v>
      </c>
      <c r="CC179" s="578">
        <v>4690.6000000000004</v>
      </c>
      <c r="CD179" s="578">
        <v>402760.83</v>
      </c>
    </row>
    <row r="180" spans="1:82" hidden="1" x14ac:dyDescent="0.3">
      <c r="A180" s="574" t="s">
        <v>1765</v>
      </c>
      <c r="B180" s="577">
        <v>3302284</v>
      </c>
      <c r="C180" s="574">
        <f>_xlfn.XLOOKUP(B180,'[1]Blade-Export_15-08-2022_sources'!B:B,'[1]Blade-Export_15-08-2022_sources'!F:F,0,FALSE)</f>
        <v>330</v>
      </c>
      <c r="D180" s="574">
        <f>_xlfn.XLOOKUP($B180,'[1]Blade-Export_15-08-2022_sources'!$B:$B,'[1]Blade-Export_15-08-2022_sources'!G:G,0,FALSE)</f>
        <v>2284</v>
      </c>
      <c r="E180" s="574" t="str">
        <f>_xlfn.XLOOKUP($B180,'[1]Blade-Export_15-08-2022_sources'!$B:$B,'[1]Blade-Export_15-08-2022_sources'!H:H,0,FALSE)</f>
        <v xml:space="preserve">DEYKIN AVENUE JI </v>
      </c>
      <c r="F180" s="578">
        <v>97190.34</v>
      </c>
      <c r="G180" s="578">
        <v>0</v>
      </c>
      <c r="H180" s="578">
        <v>9210.25</v>
      </c>
      <c r="I180" s="578">
        <v>1088535.17</v>
      </c>
      <c r="J180" s="578">
        <v>0</v>
      </c>
      <c r="K180" s="578">
        <v>14623.33</v>
      </c>
      <c r="L180" s="578">
        <v>0</v>
      </c>
      <c r="M180" s="578">
        <v>112980</v>
      </c>
      <c r="N180" s="578">
        <v>2598.75</v>
      </c>
      <c r="O180" s="578">
        <v>1000</v>
      </c>
      <c r="P180" s="578">
        <v>6399.37</v>
      </c>
      <c r="Q180" s="578">
        <v>114.85</v>
      </c>
      <c r="R180" s="578">
        <v>0</v>
      </c>
      <c r="S180" s="578">
        <v>0</v>
      </c>
      <c r="T180" s="578">
        <v>0</v>
      </c>
      <c r="U180" s="578">
        <v>247.81</v>
      </c>
      <c r="V180" s="578">
        <v>0</v>
      </c>
      <c r="W180" s="578"/>
      <c r="X180" s="578">
        <v>0</v>
      </c>
      <c r="Y180" s="578">
        <v>0</v>
      </c>
      <c r="Z180" s="578">
        <v>0</v>
      </c>
      <c r="AA180" s="578">
        <v>0</v>
      </c>
      <c r="AB180" s="578">
        <v>8688.75</v>
      </c>
      <c r="AC180" s="578">
        <v>6860</v>
      </c>
      <c r="AD180" s="578">
        <v>37701</v>
      </c>
      <c r="AE180" s="578">
        <v>596792.01</v>
      </c>
      <c r="AF180" s="578">
        <v>35161.5</v>
      </c>
      <c r="AG180" s="578">
        <v>256961.53</v>
      </c>
      <c r="AH180" s="578">
        <v>40125.61</v>
      </c>
      <c r="AI180" s="578">
        <v>74901.009999999995</v>
      </c>
      <c r="AJ180" s="578">
        <v>0</v>
      </c>
      <c r="AK180" s="578">
        <v>20508.45</v>
      </c>
      <c r="AL180" s="578">
        <v>1782.69</v>
      </c>
      <c r="AM180" s="578">
        <v>340</v>
      </c>
      <c r="AN180" s="578">
        <v>0</v>
      </c>
      <c r="AO180" s="578">
        <v>0</v>
      </c>
      <c r="AP180" s="578">
        <v>27646.27</v>
      </c>
      <c r="AQ180" s="578">
        <v>2791.48</v>
      </c>
      <c r="AR180" s="578">
        <v>18942.150000000001</v>
      </c>
      <c r="AS180" s="578">
        <v>3335.21</v>
      </c>
      <c r="AT180" s="578">
        <v>17580.97</v>
      </c>
      <c r="AU180" s="578">
        <v>12286.63</v>
      </c>
      <c r="AV180" s="578">
        <v>10056.34</v>
      </c>
      <c r="AW180" s="578">
        <v>42358.68</v>
      </c>
      <c r="AX180" s="578">
        <v>4578.32</v>
      </c>
      <c r="AY180" s="578">
        <v>0</v>
      </c>
      <c r="AZ180" s="578">
        <v>37740.07</v>
      </c>
      <c r="BA180" s="578">
        <v>4450</v>
      </c>
      <c r="BB180" s="578">
        <v>0</v>
      </c>
      <c r="BC180" s="578">
        <v>36029.919999999998</v>
      </c>
      <c r="BD180" s="578">
        <v>2718</v>
      </c>
      <c r="BE180" s="578">
        <v>1520</v>
      </c>
      <c r="BF180" s="578">
        <v>46180.22</v>
      </c>
      <c r="BG180" s="578">
        <v>0</v>
      </c>
      <c r="BH180" s="578">
        <v>0</v>
      </c>
      <c r="BI180" s="578">
        <v>0</v>
      </c>
      <c r="BJ180" s="578">
        <v>0</v>
      </c>
      <c r="BK180" s="578">
        <v>0</v>
      </c>
      <c r="BL180" s="578">
        <v>6373.75</v>
      </c>
      <c r="BM180" s="578">
        <v>0</v>
      </c>
      <c r="BN180" s="578">
        <v>0</v>
      </c>
      <c r="BO180" s="578">
        <v>10000</v>
      </c>
      <c r="BP180" s="578">
        <v>0</v>
      </c>
      <c r="BQ180" s="578">
        <v>6359.8</v>
      </c>
      <c r="BR180" s="578">
        <v>0</v>
      </c>
      <c r="BS180" s="578">
        <v>0</v>
      </c>
      <c r="BT180" s="578">
        <v>0</v>
      </c>
      <c r="BU180" s="578">
        <v>82152.31</v>
      </c>
      <c r="BV180" s="578">
        <v>9224.2000000000007</v>
      </c>
      <c r="BW180" s="578">
        <v>0</v>
      </c>
      <c r="BX180" s="578">
        <v>0</v>
      </c>
      <c r="BY180" s="578">
        <v>0</v>
      </c>
      <c r="BZ180" s="578">
        <v>1279749.03</v>
      </c>
      <c r="CA180" s="578">
        <v>1294787.06</v>
      </c>
      <c r="CB180" s="578">
        <v>6373.75</v>
      </c>
      <c r="CC180" s="578">
        <v>6359.8</v>
      </c>
      <c r="CD180" s="578">
        <v>91376.51</v>
      </c>
    </row>
    <row r="181" spans="1:82" hidden="1" x14ac:dyDescent="0.3">
      <c r="A181" s="574" t="s">
        <v>1766</v>
      </c>
      <c r="B181" s="577">
        <v>3302191</v>
      </c>
      <c r="C181" s="574">
        <f>_xlfn.XLOOKUP(B181,'[1]Blade-Export_15-08-2022_sources'!B:B,'[1]Blade-Export_15-08-2022_sources'!F:F,0,FALSE)</f>
        <v>330</v>
      </c>
      <c r="D181" s="574">
        <f>_xlfn.XLOOKUP($B181,'[1]Blade-Export_15-08-2022_sources'!$B:$B,'[1]Blade-Export_15-08-2022_sources'!G:G,0,FALSE)</f>
        <v>2191</v>
      </c>
      <c r="E181" s="574" t="str">
        <f>_xlfn.XLOOKUP($B181,'[1]Blade-Export_15-08-2022_sources'!$B:$B,'[1]Blade-Export_15-08-2022_sources'!H:H,0,FALSE)</f>
        <v xml:space="preserve">COURT FARM JI </v>
      </c>
      <c r="F181" s="578">
        <v>228400.58</v>
      </c>
      <c r="G181" s="578">
        <v>0</v>
      </c>
      <c r="H181" s="578">
        <v>7351.95</v>
      </c>
      <c r="I181" s="578">
        <v>1488676.27</v>
      </c>
      <c r="J181" s="578">
        <v>0</v>
      </c>
      <c r="K181" s="578">
        <v>5800</v>
      </c>
      <c r="L181" s="578">
        <v>0</v>
      </c>
      <c r="M181" s="578">
        <v>172815</v>
      </c>
      <c r="N181" s="578">
        <v>4016.25</v>
      </c>
      <c r="O181" s="578">
        <v>0</v>
      </c>
      <c r="P181" s="578">
        <v>45312.89</v>
      </c>
      <c r="Q181" s="578">
        <v>233.62</v>
      </c>
      <c r="R181" s="578">
        <v>374.37</v>
      </c>
      <c r="S181" s="578">
        <v>0</v>
      </c>
      <c r="T181" s="578">
        <v>0</v>
      </c>
      <c r="U181" s="578">
        <v>2000</v>
      </c>
      <c r="V181" s="578">
        <v>0</v>
      </c>
      <c r="W181" s="578"/>
      <c r="X181" s="578">
        <v>0</v>
      </c>
      <c r="Y181" s="578">
        <v>0</v>
      </c>
      <c r="Z181" s="578">
        <v>0</v>
      </c>
      <c r="AA181" s="578">
        <v>0</v>
      </c>
      <c r="AB181" s="578">
        <v>13105.63</v>
      </c>
      <c r="AC181" s="578">
        <v>7100</v>
      </c>
      <c r="AD181" s="578">
        <v>36680</v>
      </c>
      <c r="AE181" s="578">
        <v>637769.03</v>
      </c>
      <c r="AF181" s="578">
        <v>0</v>
      </c>
      <c r="AG181" s="578">
        <v>335451.24</v>
      </c>
      <c r="AH181" s="578">
        <v>36587.050000000003</v>
      </c>
      <c r="AI181" s="578">
        <v>240653.34</v>
      </c>
      <c r="AJ181" s="578">
        <v>0</v>
      </c>
      <c r="AK181" s="578">
        <v>48143.62</v>
      </c>
      <c r="AL181" s="578">
        <v>7861.63</v>
      </c>
      <c r="AM181" s="578">
        <v>5536.8</v>
      </c>
      <c r="AN181" s="578">
        <v>0</v>
      </c>
      <c r="AO181" s="578">
        <v>0</v>
      </c>
      <c r="AP181" s="578">
        <v>49860.97</v>
      </c>
      <c r="AQ181" s="578">
        <v>3237</v>
      </c>
      <c r="AR181" s="578">
        <v>2725.74</v>
      </c>
      <c r="AS181" s="578">
        <v>3943.88</v>
      </c>
      <c r="AT181" s="578">
        <v>23717.86</v>
      </c>
      <c r="AU181" s="578">
        <v>14919.48</v>
      </c>
      <c r="AV181" s="578">
        <v>0</v>
      </c>
      <c r="AW181" s="578">
        <v>38534.699999999997</v>
      </c>
      <c r="AX181" s="578">
        <v>15360.8</v>
      </c>
      <c r="AY181" s="578">
        <v>0</v>
      </c>
      <c r="AZ181" s="578">
        <v>169857.03</v>
      </c>
      <c r="BA181" s="578">
        <v>4450</v>
      </c>
      <c r="BB181" s="578">
        <v>0</v>
      </c>
      <c r="BC181" s="578">
        <v>85605.19</v>
      </c>
      <c r="BD181" s="578">
        <v>26311.63</v>
      </c>
      <c r="BE181" s="578">
        <v>1554.88</v>
      </c>
      <c r="BF181" s="578">
        <v>60841.919999999998</v>
      </c>
      <c r="BG181" s="578">
        <v>0</v>
      </c>
      <c r="BH181" s="578">
        <v>0</v>
      </c>
      <c r="BI181" s="578">
        <v>24485.5</v>
      </c>
      <c r="BJ181" s="578">
        <v>0</v>
      </c>
      <c r="BK181" s="578">
        <v>0</v>
      </c>
      <c r="BL181" s="578">
        <v>6604.38</v>
      </c>
      <c r="BM181" s="578">
        <v>0</v>
      </c>
      <c r="BN181" s="578">
        <v>0</v>
      </c>
      <c r="BO181" s="578">
        <v>10000</v>
      </c>
      <c r="BP181" s="578">
        <v>0</v>
      </c>
      <c r="BQ181" s="578">
        <v>0</v>
      </c>
      <c r="BR181" s="578">
        <v>0</v>
      </c>
      <c r="BS181" s="578">
        <v>0</v>
      </c>
      <c r="BT181" s="578">
        <v>0</v>
      </c>
      <c r="BU181" s="578">
        <v>167105.32</v>
      </c>
      <c r="BV181" s="578">
        <v>13956.33</v>
      </c>
      <c r="BW181" s="578">
        <v>0</v>
      </c>
      <c r="BX181" s="578">
        <v>0</v>
      </c>
      <c r="BY181" s="578">
        <v>0</v>
      </c>
      <c r="BZ181" s="578">
        <v>1776114.03</v>
      </c>
      <c r="CA181" s="578">
        <v>1837409.29</v>
      </c>
      <c r="CB181" s="578">
        <v>6604.38</v>
      </c>
      <c r="CC181" s="578">
        <v>0</v>
      </c>
      <c r="CD181" s="578">
        <v>181061.65</v>
      </c>
    </row>
    <row r="182" spans="1:82" hidden="1" x14ac:dyDescent="0.3">
      <c r="A182" s="574" t="s">
        <v>1767</v>
      </c>
      <c r="B182" s="577">
        <v>3302055</v>
      </c>
      <c r="C182" s="574">
        <f>_xlfn.XLOOKUP(B182,'[1]Blade-Export_15-08-2022_sources'!B:B,'[1]Blade-Export_15-08-2022_sources'!F:F,0,FALSE)</f>
        <v>330</v>
      </c>
      <c r="D182" s="574">
        <f>_xlfn.XLOOKUP($B182,'[1]Blade-Export_15-08-2022_sources'!$B:$B,'[1]Blade-Export_15-08-2022_sources'!G:G,0,FALSE)</f>
        <v>2055</v>
      </c>
      <c r="E182" s="574" t="str">
        <f>_xlfn.XLOOKUP($B182,'[1]Blade-Export_15-08-2022_sources'!$B:$B,'[1]Blade-Export_15-08-2022_sources'!H:H,0,FALSE)</f>
        <v>COTTERIDGE JI NC</v>
      </c>
      <c r="F182" s="578">
        <v>440462.25</v>
      </c>
      <c r="G182" s="578">
        <v>0</v>
      </c>
      <c r="H182" s="578">
        <v>30925.93</v>
      </c>
      <c r="I182" s="578">
        <v>1969330.68</v>
      </c>
      <c r="J182" s="578">
        <v>0</v>
      </c>
      <c r="K182" s="578">
        <v>28168.16</v>
      </c>
      <c r="L182" s="578">
        <v>0</v>
      </c>
      <c r="M182" s="578">
        <v>184575</v>
      </c>
      <c r="N182" s="578">
        <v>4488.75</v>
      </c>
      <c r="O182" s="578">
        <v>0</v>
      </c>
      <c r="P182" s="578">
        <v>132500.76</v>
      </c>
      <c r="Q182" s="578">
        <v>616.65</v>
      </c>
      <c r="R182" s="578">
        <v>23180.5</v>
      </c>
      <c r="S182" s="578">
        <v>0</v>
      </c>
      <c r="T182" s="578">
        <v>0</v>
      </c>
      <c r="U182" s="578">
        <v>73143.320000000007</v>
      </c>
      <c r="V182" s="578">
        <v>0</v>
      </c>
      <c r="W182" s="578"/>
      <c r="X182" s="578">
        <v>0</v>
      </c>
      <c r="Y182" s="578">
        <v>0</v>
      </c>
      <c r="Z182" s="578">
        <v>0</v>
      </c>
      <c r="AA182" s="578">
        <v>0</v>
      </c>
      <c r="AB182" s="578">
        <v>14421.25</v>
      </c>
      <c r="AC182" s="578">
        <v>13730</v>
      </c>
      <c r="AD182" s="578">
        <v>74436</v>
      </c>
      <c r="AE182" s="578">
        <v>1182389.1599999999</v>
      </c>
      <c r="AF182" s="578">
        <v>0</v>
      </c>
      <c r="AG182" s="578">
        <v>290938.06</v>
      </c>
      <c r="AH182" s="578">
        <v>0</v>
      </c>
      <c r="AI182" s="578">
        <v>316445.93</v>
      </c>
      <c r="AJ182" s="578">
        <v>0</v>
      </c>
      <c r="AK182" s="578">
        <v>76778.36</v>
      </c>
      <c r="AL182" s="578">
        <v>1610.3</v>
      </c>
      <c r="AM182" s="578">
        <v>21493.47</v>
      </c>
      <c r="AN182" s="578">
        <v>0</v>
      </c>
      <c r="AO182" s="578">
        <v>0</v>
      </c>
      <c r="AP182" s="578">
        <v>71155.12</v>
      </c>
      <c r="AQ182" s="578">
        <v>0</v>
      </c>
      <c r="AR182" s="578">
        <v>28988.28</v>
      </c>
      <c r="AS182" s="578">
        <v>1048.81</v>
      </c>
      <c r="AT182" s="578">
        <v>31158.240000000002</v>
      </c>
      <c r="AU182" s="578">
        <v>27014.400000000001</v>
      </c>
      <c r="AV182" s="578">
        <v>9303.51</v>
      </c>
      <c r="AW182" s="578">
        <v>105728.25</v>
      </c>
      <c r="AX182" s="578">
        <v>17370.349999999999</v>
      </c>
      <c r="AY182" s="578">
        <v>0</v>
      </c>
      <c r="AZ182" s="578">
        <v>3079.43</v>
      </c>
      <c r="BA182" s="578">
        <v>8200</v>
      </c>
      <c r="BB182" s="578">
        <v>0</v>
      </c>
      <c r="BC182" s="578">
        <v>97530.11</v>
      </c>
      <c r="BD182" s="578">
        <v>59441.66</v>
      </c>
      <c r="BE182" s="578">
        <v>18719.8</v>
      </c>
      <c r="BF182" s="578">
        <v>119164.81</v>
      </c>
      <c r="BG182" s="578">
        <v>0</v>
      </c>
      <c r="BH182" s="578">
        <v>0</v>
      </c>
      <c r="BI182" s="578">
        <v>0</v>
      </c>
      <c r="BJ182" s="578">
        <v>0</v>
      </c>
      <c r="BK182" s="578">
        <v>0</v>
      </c>
      <c r="BL182" s="578">
        <v>8655.25</v>
      </c>
      <c r="BM182" s="578">
        <v>0</v>
      </c>
      <c r="BN182" s="578">
        <v>0</v>
      </c>
      <c r="BO182" s="578">
        <v>10000</v>
      </c>
      <c r="BP182" s="578">
        <v>0</v>
      </c>
      <c r="BQ182" s="578">
        <v>0</v>
      </c>
      <c r="BR182" s="578">
        <v>0</v>
      </c>
      <c r="BS182" s="578">
        <v>0</v>
      </c>
      <c r="BT182" s="578">
        <v>0</v>
      </c>
      <c r="BU182" s="578">
        <v>471495.27</v>
      </c>
      <c r="BV182" s="578">
        <v>39581.18</v>
      </c>
      <c r="BW182" s="578">
        <v>0</v>
      </c>
      <c r="BX182" s="578">
        <v>0</v>
      </c>
      <c r="BY182" s="578">
        <v>0</v>
      </c>
      <c r="BZ182" s="578">
        <v>2518591.0699999998</v>
      </c>
      <c r="CA182" s="578">
        <v>2487558.0499999998</v>
      </c>
      <c r="CB182" s="578">
        <v>8655.25</v>
      </c>
      <c r="CC182" s="578">
        <v>0</v>
      </c>
      <c r="CD182" s="578">
        <v>511076.45</v>
      </c>
    </row>
    <row r="183" spans="1:82" hidden="1" x14ac:dyDescent="0.3">
      <c r="A183" s="574" t="s">
        <v>1768</v>
      </c>
      <c r="B183" s="577">
        <v>3303320</v>
      </c>
      <c r="C183" s="574">
        <f>_xlfn.XLOOKUP(B183,'[1]Blade-Export_15-08-2022_sources'!B:B,'[1]Blade-Export_15-08-2022_sources'!F:F,0,FALSE)</f>
        <v>330</v>
      </c>
      <c r="D183" s="574">
        <f>_xlfn.XLOOKUP($B183,'[1]Blade-Export_15-08-2022_sources'!$B:$B,'[1]Blade-Export_15-08-2022_sources'!G:G,0,FALSE)</f>
        <v>3320</v>
      </c>
      <c r="E183" s="574" t="str">
        <f>_xlfn.XLOOKUP($B183,'[1]Blade-Export_15-08-2022_sources'!$B:$B,'[1]Blade-Export_15-08-2022_sources'!H:H,0,FALSE)</f>
        <v xml:space="preserve">CORPUS CHRISTI RC JI </v>
      </c>
      <c r="F183" s="578">
        <v>491284.03</v>
      </c>
      <c r="G183" s="578">
        <v>0</v>
      </c>
      <c r="H183" s="578">
        <v>0</v>
      </c>
      <c r="I183" s="578">
        <v>1942215.31</v>
      </c>
      <c r="J183" s="578">
        <v>0</v>
      </c>
      <c r="K183" s="578">
        <v>17303.75</v>
      </c>
      <c r="L183" s="578">
        <v>0</v>
      </c>
      <c r="M183" s="578">
        <v>266310</v>
      </c>
      <c r="N183" s="578">
        <v>6437.81</v>
      </c>
      <c r="O183" s="578">
        <v>0</v>
      </c>
      <c r="P183" s="578">
        <v>50215.8</v>
      </c>
      <c r="Q183" s="578">
        <v>687.8</v>
      </c>
      <c r="R183" s="578">
        <v>0</v>
      </c>
      <c r="S183" s="578">
        <v>0</v>
      </c>
      <c r="T183" s="578">
        <v>0</v>
      </c>
      <c r="U183" s="578">
        <v>21816.12</v>
      </c>
      <c r="V183" s="578">
        <v>0</v>
      </c>
      <c r="W183" s="578"/>
      <c r="X183" s="578">
        <v>0</v>
      </c>
      <c r="Y183" s="578">
        <v>0</v>
      </c>
      <c r="Z183" s="578">
        <v>0</v>
      </c>
      <c r="AA183" s="578">
        <v>0</v>
      </c>
      <c r="AB183" s="578">
        <v>20792.810000000001</v>
      </c>
      <c r="AC183" s="578">
        <v>13730</v>
      </c>
      <c r="AD183" s="578">
        <v>54753</v>
      </c>
      <c r="AE183" s="578">
        <v>1027292.7</v>
      </c>
      <c r="AF183" s="578">
        <v>0</v>
      </c>
      <c r="AG183" s="578">
        <v>411683.05</v>
      </c>
      <c r="AH183" s="578">
        <v>0</v>
      </c>
      <c r="AI183" s="578">
        <v>170733.93</v>
      </c>
      <c r="AJ183" s="578">
        <v>0</v>
      </c>
      <c r="AK183" s="578">
        <v>89018.67</v>
      </c>
      <c r="AL183" s="578">
        <v>1504.1</v>
      </c>
      <c r="AM183" s="578">
        <v>9574.5</v>
      </c>
      <c r="AN183" s="578">
        <v>0</v>
      </c>
      <c r="AO183" s="578">
        <v>0</v>
      </c>
      <c r="AP183" s="578">
        <v>34606.26</v>
      </c>
      <c r="AQ183" s="578">
        <v>110.75</v>
      </c>
      <c r="AR183" s="578">
        <v>41857.629999999997</v>
      </c>
      <c r="AS183" s="578">
        <v>6937.52</v>
      </c>
      <c r="AT183" s="578">
        <v>34287.620000000003</v>
      </c>
      <c r="AU183" s="578">
        <v>5119.87</v>
      </c>
      <c r="AV183" s="578">
        <v>18519.59</v>
      </c>
      <c r="AW183" s="578">
        <v>107322.66</v>
      </c>
      <c r="AX183" s="578">
        <v>15318.28</v>
      </c>
      <c r="AY183" s="578">
        <v>0</v>
      </c>
      <c r="AZ183" s="578">
        <v>61187.44</v>
      </c>
      <c r="BA183" s="578">
        <v>9709.6299999999992</v>
      </c>
      <c r="BB183" s="578">
        <v>0</v>
      </c>
      <c r="BC183" s="578">
        <v>111167.82</v>
      </c>
      <c r="BD183" s="578">
        <v>69415.05</v>
      </c>
      <c r="BE183" s="578">
        <v>381.54</v>
      </c>
      <c r="BF183" s="578">
        <v>54667.56</v>
      </c>
      <c r="BG183" s="578">
        <v>0</v>
      </c>
      <c r="BH183" s="578">
        <v>0</v>
      </c>
      <c r="BI183" s="578">
        <v>93732.44</v>
      </c>
      <c r="BJ183" s="578">
        <v>0</v>
      </c>
      <c r="BK183" s="578">
        <v>0</v>
      </c>
      <c r="BL183" s="578">
        <v>0</v>
      </c>
      <c r="BM183" s="578">
        <v>0</v>
      </c>
      <c r="BN183" s="578">
        <v>0</v>
      </c>
      <c r="BO183" s="578">
        <v>10000</v>
      </c>
      <c r="BP183" s="578">
        <v>0</v>
      </c>
      <c r="BQ183" s="578">
        <v>0</v>
      </c>
      <c r="BR183" s="578">
        <v>0</v>
      </c>
      <c r="BS183" s="578">
        <v>0</v>
      </c>
      <c r="BT183" s="578">
        <v>0</v>
      </c>
      <c r="BU183" s="578">
        <v>511397.82</v>
      </c>
      <c r="BV183" s="578">
        <v>0</v>
      </c>
      <c r="BW183" s="578">
        <v>0</v>
      </c>
      <c r="BX183" s="578">
        <v>0</v>
      </c>
      <c r="BY183" s="578">
        <v>0</v>
      </c>
      <c r="BZ183" s="578">
        <v>2394262.4</v>
      </c>
      <c r="CA183" s="578">
        <v>2374148.61</v>
      </c>
      <c r="CB183" s="578">
        <v>0</v>
      </c>
      <c r="CC183" s="578">
        <v>0</v>
      </c>
      <c r="CD183" s="578">
        <v>511397.82</v>
      </c>
    </row>
    <row r="184" spans="1:82" hidden="1" x14ac:dyDescent="0.3">
      <c r="A184" s="574" t="s">
        <v>1769</v>
      </c>
      <c r="B184" s="577">
        <v>3302464</v>
      </c>
      <c r="C184" s="574">
        <f>_xlfn.XLOOKUP(B184,'[1]Blade-Export_15-08-2022_sources'!B:B,'[1]Blade-Export_15-08-2022_sources'!F:F,0,FALSE)</f>
        <v>330</v>
      </c>
      <c r="D184" s="574">
        <f>_xlfn.XLOOKUP($B184,'[1]Blade-Export_15-08-2022_sources'!$B:$B,'[1]Blade-Export_15-08-2022_sources'!G:G,0,FALSE)</f>
        <v>2464</v>
      </c>
      <c r="E184" s="574" t="str">
        <f>_xlfn.XLOOKUP($B184,'[1]Blade-Export_15-08-2022_sources'!$B:$B,'[1]Blade-Export_15-08-2022_sources'!H:H,0,FALSE)</f>
        <v xml:space="preserve">COPPICE JI </v>
      </c>
      <c r="F184" s="578">
        <v>41250.080000000002</v>
      </c>
      <c r="G184" s="578">
        <v>0</v>
      </c>
      <c r="H184" s="578">
        <v>8988.1</v>
      </c>
      <c r="I184" s="578">
        <v>1778075.83</v>
      </c>
      <c r="J184" s="578">
        <v>0</v>
      </c>
      <c r="K184" s="578">
        <v>1485.42</v>
      </c>
      <c r="L184" s="578">
        <v>0</v>
      </c>
      <c r="M184" s="578">
        <v>36970</v>
      </c>
      <c r="N184" s="578">
        <v>826.88</v>
      </c>
      <c r="O184" s="578">
        <v>0</v>
      </c>
      <c r="P184" s="578">
        <v>517820.1</v>
      </c>
      <c r="Q184" s="578">
        <v>415.69</v>
      </c>
      <c r="R184" s="578">
        <v>0</v>
      </c>
      <c r="S184" s="578">
        <v>0</v>
      </c>
      <c r="T184" s="578">
        <v>0</v>
      </c>
      <c r="U184" s="578">
        <v>75036.05</v>
      </c>
      <c r="V184" s="578">
        <v>0</v>
      </c>
      <c r="W184" s="578"/>
      <c r="X184" s="578">
        <v>0</v>
      </c>
      <c r="Y184" s="578">
        <v>0</v>
      </c>
      <c r="Z184" s="578">
        <v>0</v>
      </c>
      <c r="AA184" s="578">
        <v>0</v>
      </c>
      <c r="AB184" s="578">
        <v>2711.88</v>
      </c>
      <c r="AC184" s="578">
        <v>13830</v>
      </c>
      <c r="AD184" s="578">
        <v>82523</v>
      </c>
      <c r="AE184" s="578">
        <v>1098656.94</v>
      </c>
      <c r="AF184" s="578">
        <v>0</v>
      </c>
      <c r="AG184" s="578">
        <v>469190.23</v>
      </c>
      <c r="AH184" s="578">
        <v>49045.22</v>
      </c>
      <c r="AI184" s="578">
        <v>248971.44</v>
      </c>
      <c r="AJ184" s="578">
        <v>0</v>
      </c>
      <c r="AK184" s="578">
        <v>20825.45</v>
      </c>
      <c r="AL184" s="578">
        <v>6920.99</v>
      </c>
      <c r="AM184" s="578">
        <v>740</v>
      </c>
      <c r="AN184" s="578">
        <v>0</v>
      </c>
      <c r="AO184" s="578">
        <v>0</v>
      </c>
      <c r="AP184" s="578">
        <v>33748.51</v>
      </c>
      <c r="AQ184" s="578">
        <v>827.87</v>
      </c>
      <c r="AR184" s="578">
        <v>51350.9</v>
      </c>
      <c r="AS184" s="578">
        <v>13686.21</v>
      </c>
      <c r="AT184" s="578">
        <v>52689.33</v>
      </c>
      <c r="AU184" s="578">
        <v>52999.68</v>
      </c>
      <c r="AV184" s="578">
        <v>0</v>
      </c>
      <c r="AW184" s="578">
        <v>106511.59</v>
      </c>
      <c r="AX184" s="578">
        <v>800.35</v>
      </c>
      <c r="AY184" s="578">
        <v>0</v>
      </c>
      <c r="AZ184" s="578">
        <v>26299.73</v>
      </c>
      <c r="BA184" s="578">
        <v>8200</v>
      </c>
      <c r="BB184" s="578">
        <v>0</v>
      </c>
      <c r="BC184" s="578">
        <v>31526.75</v>
      </c>
      <c r="BD184" s="578">
        <v>3785</v>
      </c>
      <c r="BE184" s="578">
        <v>1348.86</v>
      </c>
      <c r="BF184" s="578">
        <v>181401.59</v>
      </c>
      <c r="BG184" s="578">
        <v>0</v>
      </c>
      <c r="BH184" s="578">
        <v>0</v>
      </c>
      <c r="BI184" s="578">
        <v>0</v>
      </c>
      <c r="BJ184" s="578">
        <v>0</v>
      </c>
      <c r="BK184" s="578">
        <v>0</v>
      </c>
      <c r="BL184" s="578">
        <v>8713.75</v>
      </c>
      <c r="BM184" s="578">
        <v>0</v>
      </c>
      <c r="BN184" s="578">
        <v>0</v>
      </c>
      <c r="BO184" s="578">
        <v>10000</v>
      </c>
      <c r="BP184" s="578">
        <v>0</v>
      </c>
      <c r="BQ184" s="578">
        <v>14426.64</v>
      </c>
      <c r="BR184" s="578">
        <v>0</v>
      </c>
      <c r="BS184" s="578">
        <v>0</v>
      </c>
      <c r="BT184" s="578">
        <v>0</v>
      </c>
      <c r="BU184" s="578">
        <v>91418.27</v>
      </c>
      <c r="BV184" s="578">
        <v>3275.21</v>
      </c>
      <c r="BW184" s="578">
        <v>0</v>
      </c>
      <c r="BX184" s="578">
        <v>0</v>
      </c>
      <c r="BY184" s="578">
        <v>0</v>
      </c>
      <c r="BZ184" s="578">
        <v>2509694.85</v>
      </c>
      <c r="CA184" s="578">
        <v>2459526.64</v>
      </c>
      <c r="CB184" s="578">
        <v>8713.75</v>
      </c>
      <c r="CC184" s="578">
        <v>14426.64</v>
      </c>
      <c r="CD184" s="578">
        <v>94693.48</v>
      </c>
    </row>
    <row r="185" spans="1:82" hidden="1" x14ac:dyDescent="0.3">
      <c r="A185" s="574" t="s">
        <v>1770</v>
      </c>
      <c r="B185" s="577">
        <v>3302053</v>
      </c>
      <c r="C185" s="574">
        <f>_xlfn.XLOOKUP(B185,'[1]Blade-Export_15-08-2022_sources'!B:B,'[1]Blade-Export_15-08-2022_sources'!F:F,0,FALSE)</f>
        <v>330</v>
      </c>
      <c r="D185" s="574">
        <f>_xlfn.XLOOKUP($B185,'[1]Blade-Export_15-08-2022_sources'!$B:$B,'[1]Blade-Export_15-08-2022_sources'!G:G,0,FALSE)</f>
        <v>2053</v>
      </c>
      <c r="E185" s="574" t="str">
        <f>_xlfn.XLOOKUP($B185,'[1]Blade-Export_15-08-2022_sources'!$B:$B,'[1]Blade-Export_15-08-2022_sources'!H:H,0,FALSE)</f>
        <v xml:space="preserve">COLMORE J </v>
      </c>
      <c r="F185" s="578">
        <v>265320.89</v>
      </c>
      <c r="G185" s="578">
        <v>0</v>
      </c>
      <c r="H185" s="578">
        <v>0.25</v>
      </c>
      <c r="I185" s="578">
        <v>2015153.96</v>
      </c>
      <c r="J185" s="578">
        <v>0</v>
      </c>
      <c r="K185" s="578">
        <v>57580</v>
      </c>
      <c r="L185" s="578">
        <v>0</v>
      </c>
      <c r="M185" s="578">
        <v>155330</v>
      </c>
      <c r="N185" s="578">
        <v>4016.25</v>
      </c>
      <c r="O185" s="578">
        <v>0</v>
      </c>
      <c r="P185" s="578">
        <v>293366.71000000002</v>
      </c>
      <c r="Q185" s="578">
        <v>0</v>
      </c>
      <c r="R185" s="578">
        <v>0</v>
      </c>
      <c r="S185" s="578">
        <v>0</v>
      </c>
      <c r="T185" s="578">
        <v>0</v>
      </c>
      <c r="U185" s="578">
        <v>35479.5</v>
      </c>
      <c r="V185" s="578">
        <v>0</v>
      </c>
      <c r="W185" s="578"/>
      <c r="X185" s="578">
        <v>0</v>
      </c>
      <c r="Y185" s="578">
        <v>0</v>
      </c>
      <c r="Z185" s="578">
        <v>0</v>
      </c>
      <c r="AA185" s="578">
        <v>0</v>
      </c>
      <c r="AB185" s="578">
        <v>13481.25</v>
      </c>
      <c r="AC185" s="578">
        <v>16000</v>
      </c>
      <c r="AD185" s="578">
        <v>23381.5</v>
      </c>
      <c r="AE185" s="578">
        <v>1302871.33</v>
      </c>
      <c r="AF185" s="578">
        <v>4508.5</v>
      </c>
      <c r="AG185" s="578">
        <v>377637.87</v>
      </c>
      <c r="AH185" s="578">
        <v>87602.6</v>
      </c>
      <c r="AI185" s="578">
        <v>132267.10999999999</v>
      </c>
      <c r="AJ185" s="578">
        <v>0</v>
      </c>
      <c r="AK185" s="578">
        <v>119084.74</v>
      </c>
      <c r="AL185" s="578">
        <v>15944.37</v>
      </c>
      <c r="AM185" s="578">
        <v>40606.57</v>
      </c>
      <c r="AN185" s="578">
        <v>144.91</v>
      </c>
      <c r="AO185" s="578">
        <v>0</v>
      </c>
      <c r="AP185" s="578">
        <v>7987.67</v>
      </c>
      <c r="AQ185" s="578">
        <v>0</v>
      </c>
      <c r="AR185" s="578">
        <v>5087.53</v>
      </c>
      <c r="AS185" s="578">
        <v>8914.4699999999993</v>
      </c>
      <c r="AT185" s="578">
        <v>58321.94</v>
      </c>
      <c r="AU185" s="578">
        <v>19885.169999999998</v>
      </c>
      <c r="AV185" s="578">
        <v>9145.2800000000007</v>
      </c>
      <c r="AW185" s="578">
        <v>99104.6</v>
      </c>
      <c r="AX185" s="578">
        <v>47551.14</v>
      </c>
      <c r="AY185" s="578">
        <v>0</v>
      </c>
      <c r="AZ185" s="578">
        <v>12493.67</v>
      </c>
      <c r="BA185" s="578">
        <v>11151.13</v>
      </c>
      <c r="BB185" s="578">
        <v>0</v>
      </c>
      <c r="BC185" s="578">
        <v>1983.54</v>
      </c>
      <c r="BD185" s="578">
        <v>77522.22</v>
      </c>
      <c r="BE185" s="578">
        <v>89728.8</v>
      </c>
      <c r="BF185" s="578">
        <v>93180.27</v>
      </c>
      <c r="BG185" s="578">
        <v>0</v>
      </c>
      <c r="BH185" s="578">
        <v>256.55</v>
      </c>
      <c r="BI185" s="578">
        <v>14446</v>
      </c>
      <c r="BJ185" s="578">
        <v>0</v>
      </c>
      <c r="BK185" s="578">
        <v>0</v>
      </c>
      <c r="BL185" s="578">
        <v>9400</v>
      </c>
      <c r="BM185" s="578">
        <v>0</v>
      </c>
      <c r="BN185" s="578">
        <v>0</v>
      </c>
      <c r="BO185" s="578">
        <v>10000</v>
      </c>
      <c r="BP185" s="578">
        <v>0</v>
      </c>
      <c r="BQ185" s="578">
        <v>0</v>
      </c>
      <c r="BR185" s="578">
        <v>0</v>
      </c>
      <c r="BS185" s="578">
        <v>0</v>
      </c>
      <c r="BT185" s="578">
        <v>0</v>
      </c>
      <c r="BU185" s="578">
        <v>241682.09</v>
      </c>
      <c r="BV185" s="578">
        <v>9400.25</v>
      </c>
      <c r="BW185" s="578">
        <v>0</v>
      </c>
      <c r="BX185" s="578">
        <v>0</v>
      </c>
      <c r="BY185" s="578">
        <v>0</v>
      </c>
      <c r="BZ185" s="578">
        <v>2613789.17</v>
      </c>
      <c r="CA185" s="578">
        <v>2637427.98</v>
      </c>
      <c r="CB185" s="578">
        <v>9400</v>
      </c>
      <c r="CC185" s="578">
        <v>0</v>
      </c>
      <c r="CD185" s="578">
        <v>251082.34</v>
      </c>
    </row>
    <row r="186" spans="1:82" hidden="1" x14ac:dyDescent="0.3">
      <c r="A186" s="574" t="s">
        <v>1771</v>
      </c>
      <c r="B186" s="577">
        <v>3302054</v>
      </c>
      <c r="C186" s="574">
        <f>_xlfn.XLOOKUP(B186,'[1]Blade-Export_15-08-2022_sources'!B:B,'[1]Blade-Export_15-08-2022_sources'!F:F,0,FALSE)</f>
        <v>330</v>
      </c>
      <c r="D186" s="574">
        <f>_xlfn.XLOOKUP($B186,'[1]Blade-Export_15-08-2022_sources'!$B:$B,'[1]Blade-Export_15-08-2022_sources'!G:G,0,FALSE)</f>
        <v>2054</v>
      </c>
      <c r="E186" s="574" t="str">
        <f>_xlfn.XLOOKUP($B186,'[1]Blade-Export_15-08-2022_sources'!$B:$B,'[1]Blade-Export_15-08-2022_sources'!H:H,0,FALSE)</f>
        <v>COLMORE I NC</v>
      </c>
      <c r="F186" s="578">
        <v>145505.88</v>
      </c>
      <c r="G186" s="578">
        <v>0</v>
      </c>
      <c r="H186" s="578">
        <v>-0.24</v>
      </c>
      <c r="I186" s="578">
        <v>1705123.24</v>
      </c>
      <c r="J186" s="578">
        <v>0</v>
      </c>
      <c r="K186" s="578">
        <v>68040.19</v>
      </c>
      <c r="L186" s="578">
        <v>0</v>
      </c>
      <c r="M186" s="578">
        <v>107875</v>
      </c>
      <c r="N186" s="578">
        <v>2067.19</v>
      </c>
      <c r="O186" s="578">
        <v>0</v>
      </c>
      <c r="P186" s="578">
        <v>94698.52</v>
      </c>
      <c r="Q186" s="578">
        <v>0</v>
      </c>
      <c r="R186" s="578">
        <v>122343.46</v>
      </c>
      <c r="S186" s="578">
        <v>0</v>
      </c>
      <c r="T186" s="578">
        <v>0</v>
      </c>
      <c r="U186" s="578">
        <v>2330.75</v>
      </c>
      <c r="V186" s="578">
        <v>0</v>
      </c>
      <c r="W186" s="578"/>
      <c r="X186" s="578">
        <v>0</v>
      </c>
      <c r="Y186" s="578">
        <v>0</v>
      </c>
      <c r="Z186" s="578">
        <v>0</v>
      </c>
      <c r="AA186" s="578">
        <v>0</v>
      </c>
      <c r="AB186" s="578">
        <v>8704.69</v>
      </c>
      <c r="AC186" s="578">
        <v>12030</v>
      </c>
      <c r="AD186" s="578">
        <v>141746</v>
      </c>
      <c r="AE186" s="578">
        <v>994260.28</v>
      </c>
      <c r="AF186" s="578">
        <v>3070.1</v>
      </c>
      <c r="AG186" s="578">
        <v>386229.92</v>
      </c>
      <c r="AH186" s="578">
        <v>49327.94</v>
      </c>
      <c r="AI186" s="578">
        <v>91099.1</v>
      </c>
      <c r="AJ186" s="578">
        <v>152679.29999999999</v>
      </c>
      <c r="AK186" s="578">
        <v>66252.47</v>
      </c>
      <c r="AL186" s="578">
        <v>19077.259999999998</v>
      </c>
      <c r="AM186" s="578">
        <v>0</v>
      </c>
      <c r="AN186" s="578">
        <v>0</v>
      </c>
      <c r="AO186" s="578">
        <v>840.42</v>
      </c>
      <c r="AP186" s="578">
        <v>27446.76</v>
      </c>
      <c r="AQ186" s="578">
        <v>700</v>
      </c>
      <c r="AR186" s="578">
        <v>4553.1400000000003</v>
      </c>
      <c r="AS186" s="578">
        <v>5450.05</v>
      </c>
      <c r="AT186" s="578">
        <v>25000</v>
      </c>
      <c r="AU186" s="578">
        <v>13818.51</v>
      </c>
      <c r="AV186" s="578">
        <v>9174.26</v>
      </c>
      <c r="AW186" s="578">
        <v>26017.85</v>
      </c>
      <c r="AX186" s="578">
        <v>17992.509999999998</v>
      </c>
      <c r="AY186" s="578">
        <v>0</v>
      </c>
      <c r="AZ186" s="578">
        <v>33514.480000000003</v>
      </c>
      <c r="BA186" s="578">
        <v>8200</v>
      </c>
      <c r="BB186" s="578">
        <v>0</v>
      </c>
      <c r="BC186" s="578">
        <v>117018.6</v>
      </c>
      <c r="BD186" s="578">
        <v>0</v>
      </c>
      <c r="BE186" s="578">
        <v>0</v>
      </c>
      <c r="BF186" s="578">
        <v>278904.53999999998</v>
      </c>
      <c r="BG186" s="578">
        <v>0</v>
      </c>
      <c r="BH186" s="578">
        <v>221.31</v>
      </c>
      <c r="BI186" s="578">
        <v>0</v>
      </c>
      <c r="BJ186" s="578">
        <v>0</v>
      </c>
      <c r="BK186" s="578">
        <v>0</v>
      </c>
      <c r="BL186" s="578">
        <v>8394.25</v>
      </c>
      <c r="BM186" s="578">
        <v>0</v>
      </c>
      <c r="BN186" s="578">
        <v>0</v>
      </c>
      <c r="BO186" s="578">
        <v>10000</v>
      </c>
      <c r="BP186" s="578">
        <v>0</v>
      </c>
      <c r="BQ186" s="578">
        <v>0</v>
      </c>
      <c r="BR186" s="578">
        <v>0</v>
      </c>
      <c r="BS186" s="578">
        <v>0</v>
      </c>
      <c r="BT186" s="578">
        <v>0</v>
      </c>
      <c r="BU186" s="578">
        <v>79616.11</v>
      </c>
      <c r="BV186" s="578">
        <v>8394.01</v>
      </c>
      <c r="BW186" s="578">
        <v>0</v>
      </c>
      <c r="BX186" s="578">
        <v>0</v>
      </c>
      <c r="BY186" s="578">
        <v>0</v>
      </c>
      <c r="BZ186" s="578">
        <v>2264959.04</v>
      </c>
      <c r="CA186" s="578">
        <v>2330848.7999999998</v>
      </c>
      <c r="CB186" s="578">
        <v>8394.25</v>
      </c>
      <c r="CC186" s="578">
        <v>0</v>
      </c>
      <c r="CD186" s="578">
        <v>88010.12</v>
      </c>
    </row>
    <row r="187" spans="1:82" hidden="1" x14ac:dyDescent="0.3">
      <c r="A187" s="574" t="s">
        <v>1772</v>
      </c>
      <c r="B187" s="577">
        <v>3305416</v>
      </c>
      <c r="C187" s="574">
        <f>_xlfn.XLOOKUP(B187,'[1]Blade-Export_15-08-2022_sources'!B:B,'[1]Blade-Export_15-08-2022_sources'!F:F,0,FALSE)</f>
        <v>330</v>
      </c>
      <c r="D187" s="574">
        <f>_xlfn.XLOOKUP($B187,'[1]Blade-Export_15-08-2022_sources'!$B:$B,'[1]Blade-Export_15-08-2022_sources'!G:G,0,FALSE)</f>
        <v>5416</v>
      </c>
      <c r="E187" s="574" t="str">
        <f>_xlfn.XLOOKUP($B187,'[1]Blade-Export_15-08-2022_sources'!$B:$B,'[1]Blade-Export_15-08-2022_sources'!H:H,0,FALSE)</f>
        <v xml:space="preserve">COLMERS Sec </v>
      </c>
      <c r="F187" s="578">
        <v>504805.73</v>
      </c>
      <c r="G187" s="578">
        <v>0</v>
      </c>
      <c r="H187" s="578">
        <v>23120.2</v>
      </c>
      <c r="I187" s="578">
        <v>6874540.4199999999</v>
      </c>
      <c r="J187" s="578">
        <v>385040.23</v>
      </c>
      <c r="K187" s="578">
        <v>64393.51</v>
      </c>
      <c r="L187" s="578">
        <v>0</v>
      </c>
      <c r="M187" s="578">
        <v>586309</v>
      </c>
      <c r="N187" s="578">
        <v>25671.13</v>
      </c>
      <c r="O187" s="578">
        <v>0</v>
      </c>
      <c r="P187" s="578">
        <v>632156.92000000004</v>
      </c>
      <c r="Q187" s="578">
        <v>500000</v>
      </c>
      <c r="R187" s="578">
        <v>0</v>
      </c>
      <c r="S187" s="578">
        <v>49030.8</v>
      </c>
      <c r="T187" s="578">
        <v>0</v>
      </c>
      <c r="U187" s="578">
        <v>20438.689999999999</v>
      </c>
      <c r="V187" s="578">
        <v>0</v>
      </c>
      <c r="W187" s="578"/>
      <c r="X187" s="578">
        <v>0</v>
      </c>
      <c r="Y187" s="578">
        <v>0</v>
      </c>
      <c r="Z187" s="578">
        <v>0</v>
      </c>
      <c r="AA187" s="578">
        <v>0</v>
      </c>
      <c r="AB187" s="578">
        <v>87030</v>
      </c>
      <c r="AC187" s="578">
        <v>36560</v>
      </c>
      <c r="AD187" s="578">
        <v>12240</v>
      </c>
      <c r="AE187" s="578">
        <v>4943131.62</v>
      </c>
      <c r="AF187" s="578">
        <v>0</v>
      </c>
      <c r="AG187" s="578">
        <v>958872.38</v>
      </c>
      <c r="AH187" s="578">
        <v>213817.27</v>
      </c>
      <c r="AI187" s="578">
        <v>655949.47</v>
      </c>
      <c r="AJ187" s="578">
        <v>0</v>
      </c>
      <c r="AK187" s="578">
        <v>9714</v>
      </c>
      <c r="AL187" s="578">
        <v>30195.99</v>
      </c>
      <c r="AM187" s="578">
        <v>6251.91</v>
      </c>
      <c r="AN187" s="578">
        <v>42392.800000000003</v>
      </c>
      <c r="AO187" s="578">
        <v>0</v>
      </c>
      <c r="AP187" s="578">
        <v>0</v>
      </c>
      <c r="AQ187" s="578">
        <v>5130.55</v>
      </c>
      <c r="AR187" s="578">
        <v>137775.63</v>
      </c>
      <c r="AS187" s="578">
        <v>21305.35</v>
      </c>
      <c r="AT187" s="578">
        <v>99638.12</v>
      </c>
      <c r="AU187" s="578">
        <v>22657.56</v>
      </c>
      <c r="AV187" s="578">
        <v>221164.98</v>
      </c>
      <c r="AW187" s="578">
        <v>335002.17</v>
      </c>
      <c r="AX187" s="578">
        <v>158753.54</v>
      </c>
      <c r="AY187" s="578">
        <v>35630.17</v>
      </c>
      <c r="AZ187" s="578">
        <v>10000</v>
      </c>
      <c r="BA187" s="578">
        <v>35074</v>
      </c>
      <c r="BB187" s="578">
        <v>0</v>
      </c>
      <c r="BC187" s="578">
        <v>88677.86</v>
      </c>
      <c r="BD187" s="578">
        <v>118199.11</v>
      </c>
      <c r="BE187" s="578">
        <v>222208.34</v>
      </c>
      <c r="BF187" s="578">
        <v>768949.09</v>
      </c>
      <c r="BG187" s="578">
        <v>0</v>
      </c>
      <c r="BH187" s="578">
        <v>915.04</v>
      </c>
      <c r="BI187" s="578">
        <v>0</v>
      </c>
      <c r="BJ187" s="578">
        <v>0</v>
      </c>
      <c r="BK187" s="578">
        <v>0</v>
      </c>
      <c r="BL187" s="578">
        <v>23282.5</v>
      </c>
      <c r="BM187" s="578">
        <v>0</v>
      </c>
      <c r="BN187" s="578">
        <v>0</v>
      </c>
      <c r="BO187" s="578">
        <v>10000</v>
      </c>
      <c r="BP187" s="578">
        <v>0</v>
      </c>
      <c r="BQ187" s="578">
        <v>0</v>
      </c>
      <c r="BR187" s="578">
        <v>0</v>
      </c>
      <c r="BS187" s="578">
        <v>0</v>
      </c>
      <c r="BT187" s="578">
        <v>0</v>
      </c>
      <c r="BU187" s="578">
        <v>636809.47</v>
      </c>
      <c r="BV187" s="578">
        <v>46402.7</v>
      </c>
      <c r="BW187" s="578">
        <v>0</v>
      </c>
      <c r="BX187" s="578">
        <v>0</v>
      </c>
      <c r="BY187" s="578">
        <v>0</v>
      </c>
      <c r="BZ187" s="578">
        <v>9273410.6999999993</v>
      </c>
      <c r="CA187" s="578">
        <v>9141406.9499999993</v>
      </c>
      <c r="CB187" s="578">
        <v>23282.5</v>
      </c>
      <c r="CC187" s="578">
        <v>0</v>
      </c>
      <c r="CD187" s="578">
        <v>683212.17</v>
      </c>
    </row>
    <row r="188" spans="1:82" hidden="1" x14ac:dyDescent="0.3">
      <c r="A188" s="574" t="s">
        <v>1773</v>
      </c>
      <c r="B188" s="577">
        <v>3302185</v>
      </c>
      <c r="C188" s="574">
        <f>_xlfn.XLOOKUP(B188,'[1]Blade-Export_15-08-2022_sources'!B:B,'[1]Blade-Export_15-08-2022_sources'!F:F,0,FALSE)</f>
        <v>330</v>
      </c>
      <c r="D188" s="574">
        <f>_xlfn.XLOOKUP($B188,'[1]Blade-Export_15-08-2022_sources'!$B:$B,'[1]Blade-Export_15-08-2022_sources'!G:G,0,FALSE)</f>
        <v>2185</v>
      </c>
      <c r="E188" s="574" t="str">
        <f>_xlfn.XLOOKUP($B188,'[1]Blade-Export_15-08-2022_sources'!$B:$B,'[1]Blade-Export_15-08-2022_sources'!H:H,0,FALSE)</f>
        <v xml:space="preserve">COLEBOURNE JI </v>
      </c>
      <c r="F188" s="578">
        <v>253646.98</v>
      </c>
      <c r="G188" s="578">
        <v>0</v>
      </c>
      <c r="H188" s="578">
        <v>-0.01</v>
      </c>
      <c r="I188" s="578">
        <v>2040638.55</v>
      </c>
      <c r="J188" s="578">
        <v>0</v>
      </c>
      <c r="K188" s="578">
        <v>30231.7</v>
      </c>
      <c r="L188" s="578">
        <v>0</v>
      </c>
      <c r="M188" s="578">
        <v>140535</v>
      </c>
      <c r="N188" s="578">
        <v>3307.5</v>
      </c>
      <c r="O188" s="578">
        <v>0</v>
      </c>
      <c r="P188" s="578">
        <v>99490.72</v>
      </c>
      <c r="Q188" s="578">
        <v>318.02999999999997</v>
      </c>
      <c r="R188" s="578">
        <v>0</v>
      </c>
      <c r="S188" s="578">
        <v>0</v>
      </c>
      <c r="T188" s="578">
        <v>0</v>
      </c>
      <c r="U188" s="578">
        <v>1609.96</v>
      </c>
      <c r="V188" s="578">
        <v>0</v>
      </c>
      <c r="W188" s="578"/>
      <c r="X188" s="578">
        <v>0</v>
      </c>
      <c r="Y188" s="578">
        <v>0</v>
      </c>
      <c r="Z188" s="578">
        <v>0</v>
      </c>
      <c r="AA188" s="578">
        <v>0</v>
      </c>
      <c r="AB188" s="578">
        <v>12093.13</v>
      </c>
      <c r="AC188" s="578">
        <v>14100</v>
      </c>
      <c r="AD188" s="578">
        <v>80380</v>
      </c>
      <c r="AE188" s="578">
        <v>1059647.6599999999</v>
      </c>
      <c r="AF188" s="578">
        <v>0</v>
      </c>
      <c r="AG188" s="578">
        <v>315203.73</v>
      </c>
      <c r="AH188" s="578">
        <v>65879.22</v>
      </c>
      <c r="AI188" s="578">
        <v>127571.77</v>
      </c>
      <c r="AJ188" s="578">
        <v>0</v>
      </c>
      <c r="AK188" s="578">
        <v>26625.87</v>
      </c>
      <c r="AL188" s="578">
        <v>2122.8000000000002</v>
      </c>
      <c r="AM188" s="578">
        <v>2511.8000000000002</v>
      </c>
      <c r="AN188" s="578">
        <v>0</v>
      </c>
      <c r="AO188" s="578">
        <v>0</v>
      </c>
      <c r="AP188" s="578">
        <v>39486.5</v>
      </c>
      <c r="AQ188" s="578">
        <v>1862.4</v>
      </c>
      <c r="AR188" s="578">
        <v>88424.37</v>
      </c>
      <c r="AS188" s="578">
        <v>8619.7900000000009</v>
      </c>
      <c r="AT188" s="578">
        <v>77466.67</v>
      </c>
      <c r="AU188" s="578">
        <v>23068.77</v>
      </c>
      <c r="AV188" s="578">
        <v>0</v>
      </c>
      <c r="AW188" s="578">
        <v>35672.29</v>
      </c>
      <c r="AX188" s="578">
        <v>14984.03</v>
      </c>
      <c r="AY188" s="578">
        <v>0</v>
      </c>
      <c r="AZ188" s="578">
        <v>50174.54</v>
      </c>
      <c r="BA188" s="578">
        <v>9500</v>
      </c>
      <c r="BB188" s="578">
        <v>0</v>
      </c>
      <c r="BC188" s="578">
        <v>63823.45</v>
      </c>
      <c r="BD188" s="578">
        <v>213929.06</v>
      </c>
      <c r="BE188" s="578">
        <v>0</v>
      </c>
      <c r="BF188" s="578">
        <v>222297.02</v>
      </c>
      <c r="BG188" s="578">
        <v>0</v>
      </c>
      <c r="BH188" s="578">
        <v>0</v>
      </c>
      <c r="BI188" s="578">
        <v>0</v>
      </c>
      <c r="BJ188" s="578">
        <v>0</v>
      </c>
      <c r="BK188" s="578">
        <v>0</v>
      </c>
      <c r="BL188" s="578">
        <v>9116.5</v>
      </c>
      <c r="BM188" s="578">
        <v>0</v>
      </c>
      <c r="BN188" s="578">
        <v>0</v>
      </c>
      <c r="BO188" s="578">
        <v>10000</v>
      </c>
      <c r="BP188" s="578">
        <v>0</v>
      </c>
      <c r="BQ188" s="578">
        <v>0</v>
      </c>
      <c r="BR188" s="578">
        <v>0</v>
      </c>
      <c r="BS188" s="578">
        <v>0</v>
      </c>
      <c r="BT188" s="578">
        <v>0</v>
      </c>
      <c r="BU188" s="578">
        <v>227479.82</v>
      </c>
      <c r="BV188" s="578">
        <v>9116.49</v>
      </c>
      <c r="BW188" s="578">
        <v>0</v>
      </c>
      <c r="BX188" s="578">
        <v>0</v>
      </c>
      <c r="BY188" s="578">
        <v>0</v>
      </c>
      <c r="BZ188" s="578">
        <v>2422704.59</v>
      </c>
      <c r="CA188" s="578">
        <v>2448871.7400000002</v>
      </c>
      <c r="CB188" s="578">
        <v>9116.5</v>
      </c>
      <c r="CC188" s="578">
        <v>0</v>
      </c>
      <c r="CD188" s="578">
        <v>236596.31</v>
      </c>
    </row>
    <row r="189" spans="1:82" hidden="1" x14ac:dyDescent="0.3">
      <c r="A189" s="574" t="s">
        <v>1774</v>
      </c>
      <c r="B189" s="577">
        <v>3302289</v>
      </c>
      <c r="C189" s="574">
        <f>_xlfn.XLOOKUP(B189,'[1]Blade-Export_15-08-2022_sources'!B:B,'[1]Blade-Export_15-08-2022_sources'!F:F,0,FALSE)</f>
        <v>330</v>
      </c>
      <c r="D189" s="574">
        <f>_xlfn.XLOOKUP($B189,'[1]Blade-Export_15-08-2022_sources'!$B:$B,'[1]Blade-Export_15-08-2022_sources'!G:G,0,FALSE)</f>
        <v>2289</v>
      </c>
      <c r="E189" s="574" t="str">
        <f>_xlfn.XLOOKUP($B189,'[1]Blade-Export_15-08-2022_sources'!$B:$B,'[1]Blade-Export_15-08-2022_sources'!H:H,0,FALSE)</f>
        <v xml:space="preserve">COFTON JI </v>
      </c>
      <c r="F189" s="578">
        <v>-278485.76000000001</v>
      </c>
      <c r="G189" s="578">
        <v>0</v>
      </c>
      <c r="H189" s="578">
        <v>7226.16</v>
      </c>
      <c r="I189" s="578">
        <v>1773768.2</v>
      </c>
      <c r="J189" s="578">
        <v>0</v>
      </c>
      <c r="K189" s="578">
        <v>66509.649999999994</v>
      </c>
      <c r="L189" s="578">
        <v>0</v>
      </c>
      <c r="M189" s="578">
        <v>126430</v>
      </c>
      <c r="N189" s="578">
        <v>2894.06</v>
      </c>
      <c r="O189" s="578">
        <v>0</v>
      </c>
      <c r="P189" s="578">
        <v>13617.18</v>
      </c>
      <c r="Q189" s="578">
        <v>0</v>
      </c>
      <c r="R189" s="578">
        <v>0</v>
      </c>
      <c r="S189" s="578">
        <v>0</v>
      </c>
      <c r="T189" s="578">
        <v>0</v>
      </c>
      <c r="U189" s="578">
        <v>47519.48</v>
      </c>
      <c r="V189" s="578">
        <v>0</v>
      </c>
      <c r="W189" s="578"/>
      <c r="X189" s="578">
        <v>0</v>
      </c>
      <c r="Y189" s="578">
        <v>0</v>
      </c>
      <c r="Z189" s="578">
        <v>0</v>
      </c>
      <c r="AA189" s="578">
        <v>0</v>
      </c>
      <c r="AB189" s="578">
        <v>10909.06</v>
      </c>
      <c r="AC189" s="578">
        <v>12330</v>
      </c>
      <c r="AD189" s="578">
        <v>72659</v>
      </c>
      <c r="AE189" s="578">
        <v>942677.64</v>
      </c>
      <c r="AF189" s="578">
        <v>0</v>
      </c>
      <c r="AG189" s="578">
        <v>284905.55</v>
      </c>
      <c r="AH189" s="578">
        <v>29574.81</v>
      </c>
      <c r="AI189" s="578">
        <v>91430.2</v>
      </c>
      <c r="AJ189" s="578">
        <v>0</v>
      </c>
      <c r="AK189" s="578">
        <v>61149.63</v>
      </c>
      <c r="AL189" s="578">
        <v>1562.7</v>
      </c>
      <c r="AM189" s="578">
        <v>10025.469999999999</v>
      </c>
      <c r="AN189" s="578">
        <v>0</v>
      </c>
      <c r="AO189" s="578">
        <v>0</v>
      </c>
      <c r="AP189" s="578">
        <v>16929.23</v>
      </c>
      <c r="AQ189" s="578">
        <v>4616.6899999999996</v>
      </c>
      <c r="AR189" s="578">
        <v>8512.83</v>
      </c>
      <c r="AS189" s="578">
        <v>8999.2800000000007</v>
      </c>
      <c r="AT189" s="578">
        <v>18904.46</v>
      </c>
      <c r="AU189" s="578">
        <v>18429.939999999999</v>
      </c>
      <c r="AV189" s="578">
        <v>7366.67</v>
      </c>
      <c r="AW189" s="578">
        <v>64297.27</v>
      </c>
      <c r="AX189" s="578">
        <v>9344.84</v>
      </c>
      <c r="AY189" s="578">
        <v>0</v>
      </c>
      <c r="AZ189" s="578">
        <v>12224.65</v>
      </c>
      <c r="BA189" s="578">
        <v>8200</v>
      </c>
      <c r="BB189" s="578">
        <v>0</v>
      </c>
      <c r="BC189" s="578">
        <v>77731.41</v>
      </c>
      <c r="BD189" s="578">
        <v>120759.33</v>
      </c>
      <c r="BE189" s="578">
        <v>1487.43</v>
      </c>
      <c r="BF189" s="578">
        <v>173990.28</v>
      </c>
      <c r="BG189" s="578">
        <v>0</v>
      </c>
      <c r="BH189" s="578">
        <v>0</v>
      </c>
      <c r="BI189" s="578">
        <v>0</v>
      </c>
      <c r="BJ189" s="578">
        <v>0</v>
      </c>
      <c r="BK189" s="578">
        <v>0</v>
      </c>
      <c r="BL189" s="578">
        <v>7819.38</v>
      </c>
      <c r="BM189" s="578">
        <v>0</v>
      </c>
      <c r="BN189" s="578">
        <v>0</v>
      </c>
      <c r="BO189" s="578">
        <v>10000</v>
      </c>
      <c r="BP189" s="578">
        <v>0</v>
      </c>
      <c r="BQ189" s="578">
        <v>0</v>
      </c>
      <c r="BR189" s="578">
        <v>0</v>
      </c>
      <c r="BS189" s="578">
        <v>0</v>
      </c>
      <c r="BT189" s="578">
        <v>0</v>
      </c>
      <c r="BU189" s="578">
        <v>-124969.43</v>
      </c>
      <c r="BV189" s="578">
        <v>15045.54</v>
      </c>
      <c r="BW189" s="578">
        <v>0</v>
      </c>
      <c r="BX189" s="578">
        <v>0</v>
      </c>
      <c r="BY189" s="578">
        <v>0</v>
      </c>
      <c r="BZ189" s="578">
        <v>2126636.63</v>
      </c>
      <c r="CA189" s="578">
        <v>1973120.31</v>
      </c>
      <c r="CB189" s="578">
        <v>7819.38</v>
      </c>
      <c r="CC189" s="578">
        <v>0</v>
      </c>
      <c r="CD189" s="578">
        <v>-109923.89</v>
      </c>
    </row>
    <row r="190" spans="1:82" hidden="1" x14ac:dyDescent="0.3">
      <c r="A190" s="574" t="s">
        <v>1775</v>
      </c>
      <c r="B190" s="577">
        <v>3303432</v>
      </c>
      <c r="C190" s="574">
        <f>_xlfn.XLOOKUP(B190,'[1]Blade-Export_15-08-2022_sources'!B:B,'[1]Blade-Export_15-08-2022_sources'!F:F,0,FALSE)</f>
        <v>330</v>
      </c>
      <c r="D190" s="574">
        <f>_xlfn.XLOOKUP($B190,'[1]Blade-Export_15-08-2022_sources'!$B:$B,'[1]Blade-Export_15-08-2022_sources'!G:G,0,FALSE)</f>
        <v>3432</v>
      </c>
      <c r="E190" s="574" t="str">
        <f>_xlfn.XLOOKUP($B190,'[1]Blade-Export_15-08-2022_sources'!$B:$B,'[1]Blade-Export_15-08-2022_sources'!H:H,0,FALSE)</f>
        <v>CLIFTON JI NC</v>
      </c>
      <c r="F190" s="578">
        <v>824181.79</v>
      </c>
      <c r="G190" s="578">
        <v>0</v>
      </c>
      <c r="H190" s="578">
        <v>20142.02</v>
      </c>
      <c r="I190" s="578">
        <v>4484536.08</v>
      </c>
      <c r="J190" s="578">
        <v>0</v>
      </c>
      <c r="K190" s="578">
        <v>140655.74</v>
      </c>
      <c r="L190" s="578">
        <v>0</v>
      </c>
      <c r="M190" s="578">
        <v>501685</v>
      </c>
      <c r="N190" s="578">
        <v>11989.69</v>
      </c>
      <c r="O190" s="578">
        <v>0</v>
      </c>
      <c r="P190" s="578">
        <v>0</v>
      </c>
      <c r="Q190" s="578">
        <v>895.29</v>
      </c>
      <c r="R190" s="578">
        <v>59.13</v>
      </c>
      <c r="S190" s="578">
        <v>0</v>
      </c>
      <c r="T190" s="578">
        <v>0</v>
      </c>
      <c r="U190" s="578">
        <v>672.44</v>
      </c>
      <c r="V190" s="578">
        <v>0</v>
      </c>
      <c r="W190" s="578"/>
      <c r="X190" s="578">
        <v>0</v>
      </c>
      <c r="Y190" s="578">
        <v>0</v>
      </c>
      <c r="Z190" s="578">
        <v>0</v>
      </c>
      <c r="AA190" s="578">
        <v>0</v>
      </c>
      <c r="AB190" s="578">
        <v>40232.19</v>
      </c>
      <c r="AC190" s="578">
        <v>25860</v>
      </c>
      <c r="AD190" s="578">
        <v>100496</v>
      </c>
      <c r="AE190" s="578">
        <v>2284199.52</v>
      </c>
      <c r="AF190" s="578">
        <v>0</v>
      </c>
      <c r="AG190" s="578">
        <v>792701.98</v>
      </c>
      <c r="AH190" s="578">
        <v>0</v>
      </c>
      <c r="AI190" s="578">
        <v>498926.92</v>
      </c>
      <c r="AJ190" s="578">
        <v>0</v>
      </c>
      <c r="AK190" s="578">
        <v>177487.09</v>
      </c>
      <c r="AL190" s="578">
        <v>994.7</v>
      </c>
      <c r="AM190" s="578">
        <v>7604.45</v>
      </c>
      <c r="AN190" s="578">
        <v>0</v>
      </c>
      <c r="AO190" s="578">
        <v>0</v>
      </c>
      <c r="AP190" s="578">
        <v>76574.929999999993</v>
      </c>
      <c r="AQ190" s="578">
        <v>8456.43</v>
      </c>
      <c r="AR190" s="578">
        <v>16520.11</v>
      </c>
      <c r="AS190" s="578">
        <v>39707.300000000003</v>
      </c>
      <c r="AT190" s="578">
        <v>54773.16</v>
      </c>
      <c r="AU190" s="578">
        <v>106600.6</v>
      </c>
      <c r="AV190" s="578">
        <v>20435.740000000002</v>
      </c>
      <c r="AW190" s="578">
        <v>216644.54</v>
      </c>
      <c r="AX190" s="578">
        <v>72262.559999999998</v>
      </c>
      <c r="AY190" s="578">
        <v>0</v>
      </c>
      <c r="AZ190" s="578">
        <v>504895.68</v>
      </c>
      <c r="BA190" s="578">
        <v>21050</v>
      </c>
      <c r="BB190" s="578">
        <v>0</v>
      </c>
      <c r="BC190" s="578">
        <v>84073.16</v>
      </c>
      <c r="BD190" s="578">
        <v>99246.6</v>
      </c>
      <c r="BE190" s="578">
        <v>4130.1899999999996</v>
      </c>
      <c r="BF190" s="578">
        <v>388587</v>
      </c>
      <c r="BG190" s="578">
        <v>0</v>
      </c>
      <c r="BH190" s="578">
        <v>0</v>
      </c>
      <c r="BI190" s="578">
        <v>15000</v>
      </c>
      <c r="BJ190" s="578">
        <v>0</v>
      </c>
      <c r="BK190" s="578">
        <v>0</v>
      </c>
      <c r="BL190" s="578">
        <v>13740.25</v>
      </c>
      <c r="BM190" s="578">
        <v>0</v>
      </c>
      <c r="BN190" s="578">
        <v>0</v>
      </c>
      <c r="BO190" s="578">
        <v>10000</v>
      </c>
      <c r="BP190" s="578">
        <v>0</v>
      </c>
      <c r="BQ190" s="578">
        <v>32517.84</v>
      </c>
      <c r="BR190" s="578">
        <v>0</v>
      </c>
      <c r="BS190" s="578">
        <v>0</v>
      </c>
      <c r="BT190" s="578">
        <v>0</v>
      </c>
      <c r="BU190" s="578">
        <v>640390.68999999994</v>
      </c>
      <c r="BV190" s="578">
        <v>1364.43</v>
      </c>
      <c r="BW190" s="578">
        <v>0</v>
      </c>
      <c r="BX190" s="578">
        <v>0</v>
      </c>
      <c r="BY190" s="578">
        <v>0</v>
      </c>
      <c r="BZ190" s="578">
        <v>5307081.5599999996</v>
      </c>
      <c r="CA190" s="578">
        <v>5490872.6600000001</v>
      </c>
      <c r="CB190" s="578">
        <v>13740.25</v>
      </c>
      <c r="CC190" s="578">
        <v>32517.84</v>
      </c>
      <c r="CD190" s="578">
        <v>641755.12</v>
      </c>
    </row>
    <row r="191" spans="1:82" hidden="1" x14ac:dyDescent="0.3">
      <c r="A191" s="574" t="s">
        <v>1776</v>
      </c>
      <c r="B191" s="577">
        <v>3303319</v>
      </c>
      <c r="C191" s="574">
        <f>_xlfn.XLOOKUP(B191,'[1]Blade-Export_15-08-2022_sources'!B:B,'[1]Blade-Export_15-08-2022_sources'!F:F,0,FALSE)</f>
        <v>330</v>
      </c>
      <c r="D191" s="574">
        <f>_xlfn.XLOOKUP($B191,'[1]Blade-Export_15-08-2022_sources'!$B:$B,'[1]Blade-Export_15-08-2022_sources'!G:G,0,FALSE)</f>
        <v>3319</v>
      </c>
      <c r="E191" s="574" t="str">
        <f>_xlfn.XLOOKUP($B191,'[1]Blade-Export_15-08-2022_sources'!$B:$B,'[1]Blade-Export_15-08-2022_sources'!H:H,0,FALSE)</f>
        <v>CHRIST THE KING RC JI NC</v>
      </c>
      <c r="F191" s="578">
        <v>142281.18</v>
      </c>
      <c r="G191" s="578">
        <v>0</v>
      </c>
      <c r="H191" s="578">
        <v>0</v>
      </c>
      <c r="I191" s="578">
        <v>1930865.67</v>
      </c>
      <c r="J191" s="578">
        <v>0</v>
      </c>
      <c r="K191" s="578">
        <v>34835.71</v>
      </c>
      <c r="L191" s="578">
        <v>0</v>
      </c>
      <c r="M191" s="578">
        <v>216545</v>
      </c>
      <c r="N191" s="578">
        <v>5351.72</v>
      </c>
      <c r="O191" s="578">
        <v>0</v>
      </c>
      <c r="P191" s="578">
        <v>25764.83</v>
      </c>
      <c r="Q191" s="578">
        <v>0</v>
      </c>
      <c r="R191" s="578">
        <v>14969.14</v>
      </c>
      <c r="S191" s="578">
        <v>0</v>
      </c>
      <c r="T191" s="578">
        <v>0</v>
      </c>
      <c r="U191" s="578">
        <v>38575.78</v>
      </c>
      <c r="V191" s="578">
        <v>0</v>
      </c>
      <c r="W191" s="578"/>
      <c r="X191" s="578">
        <v>0</v>
      </c>
      <c r="Y191" s="578">
        <v>0</v>
      </c>
      <c r="Z191" s="578">
        <v>0</v>
      </c>
      <c r="AA191" s="578">
        <v>0</v>
      </c>
      <c r="AB191" s="578">
        <v>17215.72</v>
      </c>
      <c r="AC191" s="578">
        <v>12330</v>
      </c>
      <c r="AD191" s="578">
        <v>57030</v>
      </c>
      <c r="AE191" s="578">
        <v>1171191.78</v>
      </c>
      <c r="AF191" s="578">
        <v>7497.6</v>
      </c>
      <c r="AG191" s="578">
        <v>467354.26</v>
      </c>
      <c r="AH191" s="578">
        <v>22895.94</v>
      </c>
      <c r="AI191" s="578">
        <v>120274.24000000001</v>
      </c>
      <c r="AJ191" s="578">
        <v>0</v>
      </c>
      <c r="AK191" s="578">
        <v>64539.87</v>
      </c>
      <c r="AL191" s="578">
        <v>1827.56</v>
      </c>
      <c r="AM191" s="578">
        <v>2085</v>
      </c>
      <c r="AN191" s="578">
        <v>0</v>
      </c>
      <c r="AO191" s="578">
        <v>0</v>
      </c>
      <c r="AP191" s="578">
        <v>19003.830000000002</v>
      </c>
      <c r="AQ191" s="578">
        <v>0</v>
      </c>
      <c r="AR191" s="578">
        <v>25509.21</v>
      </c>
      <c r="AS191" s="578">
        <v>9582</v>
      </c>
      <c r="AT191" s="578">
        <v>19347.18</v>
      </c>
      <c r="AU191" s="578">
        <v>5094.1400000000003</v>
      </c>
      <c r="AV191" s="578">
        <v>27390.47</v>
      </c>
      <c r="AW191" s="578">
        <v>34571.980000000003</v>
      </c>
      <c r="AX191" s="578">
        <v>3540.23</v>
      </c>
      <c r="AY191" s="578">
        <v>0</v>
      </c>
      <c r="AZ191" s="578">
        <v>63341.72</v>
      </c>
      <c r="BA191" s="578">
        <v>11215.28</v>
      </c>
      <c r="BB191" s="578">
        <v>0</v>
      </c>
      <c r="BC191" s="578">
        <v>107473.54</v>
      </c>
      <c r="BD191" s="578">
        <v>330</v>
      </c>
      <c r="BE191" s="578">
        <v>0</v>
      </c>
      <c r="BF191" s="578">
        <v>189595.54</v>
      </c>
      <c r="BG191" s="578">
        <v>0</v>
      </c>
      <c r="BH191" s="578">
        <v>251.09</v>
      </c>
      <c r="BI191" s="578">
        <v>0</v>
      </c>
      <c r="BJ191" s="578">
        <v>0</v>
      </c>
      <c r="BK191" s="578">
        <v>0</v>
      </c>
      <c r="BL191" s="578">
        <v>0</v>
      </c>
      <c r="BM191" s="578">
        <v>0</v>
      </c>
      <c r="BN191" s="578">
        <v>0</v>
      </c>
      <c r="BO191" s="578">
        <v>10000</v>
      </c>
      <c r="BP191" s="578">
        <v>0</v>
      </c>
      <c r="BQ191" s="578">
        <v>0</v>
      </c>
      <c r="BR191" s="578">
        <v>0</v>
      </c>
      <c r="BS191" s="578">
        <v>0</v>
      </c>
      <c r="BT191" s="578">
        <v>0</v>
      </c>
      <c r="BU191" s="578">
        <v>121852.28</v>
      </c>
      <c r="BV191" s="578">
        <v>0</v>
      </c>
      <c r="BW191" s="578">
        <v>0</v>
      </c>
      <c r="BX191" s="578">
        <v>0</v>
      </c>
      <c r="BY191" s="578">
        <v>0</v>
      </c>
      <c r="BZ191" s="578">
        <v>2353483.5699999998</v>
      </c>
      <c r="CA191" s="578">
        <v>2373912.46</v>
      </c>
      <c r="CB191" s="578">
        <v>0</v>
      </c>
      <c r="CC191" s="578">
        <v>0</v>
      </c>
      <c r="CD191" s="578">
        <v>121852.28</v>
      </c>
    </row>
    <row r="192" spans="1:82" hidden="1" x14ac:dyDescent="0.3">
      <c r="A192" s="574" t="s">
        <v>1777</v>
      </c>
      <c r="B192" s="577">
        <v>3303002</v>
      </c>
      <c r="C192" s="574">
        <f>_xlfn.XLOOKUP(B192,'[1]Blade-Export_15-08-2022_sources'!B:B,'[1]Blade-Export_15-08-2022_sources'!F:F,0,FALSE)</f>
        <v>330</v>
      </c>
      <c r="D192" s="574">
        <f>_xlfn.XLOOKUP($B192,'[1]Blade-Export_15-08-2022_sources'!$B:$B,'[1]Blade-Export_15-08-2022_sources'!G:G,0,FALSE)</f>
        <v>3002</v>
      </c>
      <c r="E192" s="574" t="str">
        <f>_xlfn.XLOOKUP($B192,'[1]Blade-Export_15-08-2022_sources'!$B:$B,'[1]Blade-Export_15-08-2022_sources'!H:H,0,FALSE)</f>
        <v>CHRISTCHURCH CE JI NC</v>
      </c>
      <c r="F192" s="578">
        <v>545809.99</v>
      </c>
      <c r="G192" s="578">
        <v>0</v>
      </c>
      <c r="H192" s="578">
        <v>0.73</v>
      </c>
      <c r="I192" s="578">
        <v>1224095.43</v>
      </c>
      <c r="J192" s="578">
        <v>0</v>
      </c>
      <c r="K192" s="578">
        <v>28956.82</v>
      </c>
      <c r="L192" s="578">
        <v>0</v>
      </c>
      <c r="M192" s="578">
        <v>126430</v>
      </c>
      <c r="N192" s="578">
        <v>2953.13</v>
      </c>
      <c r="O192" s="578">
        <v>0</v>
      </c>
      <c r="P192" s="578">
        <v>0</v>
      </c>
      <c r="Q192" s="578">
        <v>0</v>
      </c>
      <c r="R192" s="578">
        <v>11798.5</v>
      </c>
      <c r="S192" s="578">
        <v>0</v>
      </c>
      <c r="T192" s="578">
        <v>0</v>
      </c>
      <c r="U192" s="578">
        <v>496.81</v>
      </c>
      <c r="V192" s="578">
        <v>0</v>
      </c>
      <c r="W192" s="578"/>
      <c r="X192" s="578">
        <v>0</v>
      </c>
      <c r="Y192" s="578">
        <v>0</v>
      </c>
      <c r="Z192" s="578">
        <v>0</v>
      </c>
      <c r="AA192" s="578">
        <v>0</v>
      </c>
      <c r="AB192" s="578">
        <v>10968.13</v>
      </c>
      <c r="AC192" s="578">
        <v>6800</v>
      </c>
      <c r="AD192" s="578">
        <v>35396</v>
      </c>
      <c r="AE192" s="578">
        <v>631445.79</v>
      </c>
      <c r="AF192" s="578">
        <v>0</v>
      </c>
      <c r="AG192" s="578">
        <v>117363.63</v>
      </c>
      <c r="AH192" s="578">
        <v>31166.22</v>
      </c>
      <c r="AI192" s="578">
        <v>130537.02</v>
      </c>
      <c r="AJ192" s="578">
        <v>0</v>
      </c>
      <c r="AK192" s="578">
        <v>35274.980000000003</v>
      </c>
      <c r="AL192" s="578">
        <v>859.1</v>
      </c>
      <c r="AM192" s="578">
        <v>2630</v>
      </c>
      <c r="AN192" s="578">
        <v>0</v>
      </c>
      <c r="AO192" s="578">
        <v>0</v>
      </c>
      <c r="AP192" s="578">
        <v>32446.560000000001</v>
      </c>
      <c r="AQ192" s="578">
        <v>917.67</v>
      </c>
      <c r="AR192" s="578">
        <v>26982.69</v>
      </c>
      <c r="AS192" s="578">
        <v>3416.1</v>
      </c>
      <c r="AT192" s="578">
        <v>11921.8</v>
      </c>
      <c r="AU192" s="578">
        <v>14543.36</v>
      </c>
      <c r="AV192" s="578">
        <v>7645.65</v>
      </c>
      <c r="AW192" s="578">
        <v>34538.74</v>
      </c>
      <c r="AX192" s="578">
        <v>9026.0400000000009</v>
      </c>
      <c r="AY192" s="578">
        <v>0</v>
      </c>
      <c r="AZ192" s="578">
        <v>54165.63</v>
      </c>
      <c r="BA192" s="578">
        <v>4450</v>
      </c>
      <c r="BB192" s="578">
        <v>0</v>
      </c>
      <c r="BC192" s="578">
        <v>55203.97</v>
      </c>
      <c r="BD192" s="578">
        <v>162372.5</v>
      </c>
      <c r="BE192" s="578">
        <v>27727.200000000001</v>
      </c>
      <c r="BF192" s="578">
        <v>98470.68</v>
      </c>
      <c r="BG192" s="578">
        <v>0</v>
      </c>
      <c r="BH192" s="578">
        <v>163.16</v>
      </c>
      <c r="BI192" s="578">
        <v>39801.5</v>
      </c>
      <c r="BJ192" s="578">
        <v>0</v>
      </c>
      <c r="BK192" s="578">
        <v>0</v>
      </c>
      <c r="BL192" s="578">
        <v>6459.25</v>
      </c>
      <c r="BM192" s="578">
        <v>0</v>
      </c>
      <c r="BN192" s="578">
        <v>0</v>
      </c>
      <c r="BO192" s="578">
        <v>10000</v>
      </c>
      <c r="BP192" s="578">
        <v>0</v>
      </c>
      <c r="BQ192" s="578">
        <v>0</v>
      </c>
      <c r="BR192" s="578">
        <v>0</v>
      </c>
      <c r="BS192" s="578">
        <v>0</v>
      </c>
      <c r="BT192" s="578">
        <v>0</v>
      </c>
      <c r="BU192" s="578">
        <v>460634.81</v>
      </c>
      <c r="BV192" s="578">
        <v>6459.98</v>
      </c>
      <c r="BW192" s="578">
        <v>0</v>
      </c>
      <c r="BX192" s="578">
        <v>0</v>
      </c>
      <c r="BY192" s="578">
        <v>0</v>
      </c>
      <c r="BZ192" s="578">
        <v>1447894.82</v>
      </c>
      <c r="CA192" s="578">
        <v>1533069.99</v>
      </c>
      <c r="CB192" s="578">
        <v>6459.25</v>
      </c>
      <c r="CC192" s="578">
        <v>0</v>
      </c>
      <c r="CD192" s="578">
        <v>467094.79</v>
      </c>
    </row>
    <row r="193" spans="1:82" hidden="1" x14ac:dyDescent="0.3">
      <c r="A193" s="574" t="s">
        <v>1778</v>
      </c>
      <c r="B193" s="577">
        <v>3302251</v>
      </c>
      <c r="C193" s="574">
        <f>_xlfn.XLOOKUP(B193,'[1]Blade-Export_15-08-2022_sources'!B:B,'[1]Blade-Export_15-08-2022_sources'!F:F,0,FALSE)</f>
        <v>330</v>
      </c>
      <c r="D193" s="574">
        <f>_xlfn.XLOOKUP($B193,'[1]Blade-Export_15-08-2022_sources'!$B:$B,'[1]Blade-Export_15-08-2022_sources'!G:G,0,FALSE)</f>
        <v>2251</v>
      </c>
      <c r="E193" s="574" t="str">
        <f>_xlfn.XLOOKUP($B193,'[1]Blade-Export_15-08-2022_sources'!$B:$B,'[1]Blade-Export_15-08-2022_sources'!H:H,0,FALSE)</f>
        <v>CHILCOTE JI NC</v>
      </c>
      <c r="F193" s="578">
        <v>466259.03</v>
      </c>
      <c r="G193" s="578">
        <v>0</v>
      </c>
      <c r="H193" s="578">
        <v>15965.04</v>
      </c>
      <c r="I193" s="578">
        <v>1873430.62</v>
      </c>
      <c r="J193" s="578">
        <v>0</v>
      </c>
      <c r="K193" s="578">
        <v>41797.17</v>
      </c>
      <c r="L193" s="578">
        <v>0</v>
      </c>
      <c r="M193" s="578">
        <v>111565</v>
      </c>
      <c r="N193" s="578">
        <v>2539.69</v>
      </c>
      <c r="O193" s="578">
        <v>0</v>
      </c>
      <c r="P193" s="578">
        <v>36854.620000000003</v>
      </c>
      <c r="Q193" s="578">
        <v>0</v>
      </c>
      <c r="R193" s="578">
        <v>41861.410000000003</v>
      </c>
      <c r="S193" s="578">
        <v>0</v>
      </c>
      <c r="T193" s="578">
        <v>0</v>
      </c>
      <c r="U193" s="578">
        <v>82015.350000000006</v>
      </c>
      <c r="V193" s="578">
        <v>0</v>
      </c>
      <c r="W193" s="578"/>
      <c r="X193" s="578">
        <v>0</v>
      </c>
      <c r="Y193" s="578">
        <v>0</v>
      </c>
      <c r="Z193" s="578">
        <v>0</v>
      </c>
      <c r="AA193" s="578">
        <v>0</v>
      </c>
      <c r="AB193" s="578">
        <v>9322.19</v>
      </c>
      <c r="AC193" s="578">
        <v>13960</v>
      </c>
      <c r="AD193" s="578">
        <v>88184</v>
      </c>
      <c r="AE193" s="578">
        <v>1102371.43</v>
      </c>
      <c r="AF193" s="578">
        <v>0</v>
      </c>
      <c r="AG193" s="578">
        <v>454753.36</v>
      </c>
      <c r="AH193" s="578">
        <v>0</v>
      </c>
      <c r="AI193" s="578">
        <v>118437.04</v>
      </c>
      <c r="AJ193" s="578">
        <v>70965.19</v>
      </c>
      <c r="AK193" s="578">
        <v>36397.879999999997</v>
      </c>
      <c r="AL193" s="578">
        <v>0</v>
      </c>
      <c r="AM193" s="578">
        <v>9898.67</v>
      </c>
      <c r="AN193" s="578">
        <v>0</v>
      </c>
      <c r="AO193" s="578">
        <v>327.98</v>
      </c>
      <c r="AP193" s="578">
        <v>15899.13</v>
      </c>
      <c r="AQ193" s="578">
        <v>0</v>
      </c>
      <c r="AR193" s="578">
        <v>0</v>
      </c>
      <c r="AS193" s="578">
        <v>7321.22</v>
      </c>
      <c r="AT193" s="578">
        <v>35294</v>
      </c>
      <c r="AU193" s="578">
        <v>17301.580000000002</v>
      </c>
      <c r="AV193" s="578">
        <v>3201.62</v>
      </c>
      <c r="AW193" s="578">
        <v>116569.12</v>
      </c>
      <c r="AX193" s="578">
        <v>2580.85</v>
      </c>
      <c r="AY193" s="578">
        <v>0</v>
      </c>
      <c r="AZ193" s="578">
        <v>20549.22</v>
      </c>
      <c r="BA193" s="578">
        <v>8200</v>
      </c>
      <c r="BB193" s="578">
        <v>0</v>
      </c>
      <c r="BC193" s="578">
        <v>67722.490000000005</v>
      </c>
      <c r="BD193" s="578">
        <v>34035.29</v>
      </c>
      <c r="BE193" s="578">
        <v>78405.2</v>
      </c>
      <c r="BF193" s="578">
        <v>230463.58</v>
      </c>
      <c r="BG193" s="578">
        <v>0</v>
      </c>
      <c r="BH193" s="578">
        <v>229.05</v>
      </c>
      <c r="BI193" s="578">
        <v>7688</v>
      </c>
      <c r="BJ193" s="578">
        <v>0</v>
      </c>
      <c r="BK193" s="578">
        <v>0</v>
      </c>
      <c r="BL193" s="578">
        <v>9058</v>
      </c>
      <c r="BM193" s="578">
        <v>0</v>
      </c>
      <c r="BN193" s="578">
        <v>0</v>
      </c>
      <c r="BO193" s="578">
        <v>10000</v>
      </c>
      <c r="BP193" s="578">
        <v>0</v>
      </c>
      <c r="BQ193" s="578">
        <v>0</v>
      </c>
      <c r="BR193" s="578">
        <v>0</v>
      </c>
      <c r="BS193" s="578">
        <v>0</v>
      </c>
      <c r="BT193" s="578">
        <v>0</v>
      </c>
      <c r="BU193" s="578">
        <v>329177.18</v>
      </c>
      <c r="BV193" s="578">
        <v>25023.040000000001</v>
      </c>
      <c r="BW193" s="578">
        <v>0</v>
      </c>
      <c r="BX193" s="578">
        <v>0</v>
      </c>
      <c r="BY193" s="578">
        <v>0</v>
      </c>
      <c r="BZ193" s="578">
        <v>2301530.0499999998</v>
      </c>
      <c r="CA193" s="578">
        <v>2438611.9</v>
      </c>
      <c r="CB193" s="578">
        <v>9058</v>
      </c>
      <c r="CC193" s="578">
        <v>0</v>
      </c>
      <c r="CD193" s="578">
        <v>354200.22</v>
      </c>
    </row>
    <row r="194" spans="1:82" hidden="1" x14ac:dyDescent="0.3">
      <c r="A194" s="574" t="s">
        <v>1779</v>
      </c>
      <c r="B194" s="577">
        <v>3302040</v>
      </c>
      <c r="C194" s="574">
        <f>_xlfn.XLOOKUP(B194,'[1]Blade-Export_15-08-2022_sources'!B:B,'[1]Blade-Export_15-08-2022_sources'!F:F,0,FALSE)</f>
        <v>330</v>
      </c>
      <c r="D194" s="574">
        <f>_xlfn.XLOOKUP($B194,'[1]Blade-Export_15-08-2022_sources'!$B:$B,'[1]Blade-Export_15-08-2022_sources'!G:G,0,FALSE)</f>
        <v>2040</v>
      </c>
      <c r="E194" s="574" t="str">
        <f>_xlfn.XLOOKUP($B194,'[1]Blade-Export_15-08-2022_sources'!$B:$B,'[1]Blade-Export_15-08-2022_sources'!H:H,0,FALSE)</f>
        <v>CHERRY ORCHARD JI NC</v>
      </c>
      <c r="F194" s="578">
        <v>350980.27</v>
      </c>
      <c r="G194" s="578">
        <v>0</v>
      </c>
      <c r="H194" s="578">
        <v>8338.9699999999993</v>
      </c>
      <c r="I194" s="578">
        <v>2083225.91</v>
      </c>
      <c r="J194" s="578">
        <v>0</v>
      </c>
      <c r="K194" s="578">
        <v>229633.46</v>
      </c>
      <c r="L194" s="578">
        <v>0</v>
      </c>
      <c r="M194" s="578">
        <v>111600</v>
      </c>
      <c r="N194" s="578">
        <v>2657.81</v>
      </c>
      <c r="O194" s="578">
        <v>0</v>
      </c>
      <c r="P194" s="578">
        <v>116997.79</v>
      </c>
      <c r="Q194" s="578">
        <v>104.91</v>
      </c>
      <c r="R194" s="578">
        <v>1020.28</v>
      </c>
      <c r="S194" s="578">
        <v>0</v>
      </c>
      <c r="T194" s="578">
        <v>0</v>
      </c>
      <c r="U194" s="578">
        <v>6439.05</v>
      </c>
      <c r="V194" s="578">
        <v>0</v>
      </c>
      <c r="W194" s="578"/>
      <c r="X194" s="578">
        <v>0</v>
      </c>
      <c r="Y194" s="578">
        <v>0</v>
      </c>
      <c r="Z194" s="578">
        <v>0</v>
      </c>
      <c r="AA194" s="578">
        <v>0</v>
      </c>
      <c r="AB194" s="578">
        <v>9657.81</v>
      </c>
      <c r="AC194" s="578">
        <v>15830</v>
      </c>
      <c r="AD194" s="578">
        <v>80315</v>
      </c>
      <c r="AE194" s="578">
        <v>1101896.47</v>
      </c>
      <c r="AF194" s="578">
        <v>0</v>
      </c>
      <c r="AG194" s="578">
        <v>448131.79</v>
      </c>
      <c r="AH194" s="578">
        <v>81837</v>
      </c>
      <c r="AI194" s="578">
        <v>151448.60999999999</v>
      </c>
      <c r="AJ194" s="578">
        <v>0</v>
      </c>
      <c r="AK194" s="578">
        <v>201521.38</v>
      </c>
      <c r="AL194" s="578">
        <v>2600</v>
      </c>
      <c r="AM194" s="578">
        <v>10831.83</v>
      </c>
      <c r="AN194" s="578">
        <v>0</v>
      </c>
      <c r="AO194" s="578">
        <v>0</v>
      </c>
      <c r="AP194" s="578">
        <v>79799.28</v>
      </c>
      <c r="AQ194" s="578">
        <v>37069.660000000003</v>
      </c>
      <c r="AR194" s="578">
        <v>17166.59</v>
      </c>
      <c r="AS194" s="578">
        <v>6006.02</v>
      </c>
      <c r="AT194" s="578">
        <v>29616.71</v>
      </c>
      <c r="AU194" s="578">
        <v>29587.200000000001</v>
      </c>
      <c r="AV194" s="578">
        <v>4129.16</v>
      </c>
      <c r="AW194" s="578">
        <v>144189.94</v>
      </c>
      <c r="AX194" s="578">
        <v>33992.449999999997</v>
      </c>
      <c r="AY194" s="578">
        <v>0</v>
      </c>
      <c r="AZ194" s="578">
        <v>23339.81</v>
      </c>
      <c r="BA194" s="578">
        <v>8200</v>
      </c>
      <c r="BB194" s="578">
        <v>0</v>
      </c>
      <c r="BC194" s="578">
        <v>34816.550000000003</v>
      </c>
      <c r="BD194" s="578">
        <v>259775.65</v>
      </c>
      <c r="BE194" s="578">
        <v>9070.0300000000007</v>
      </c>
      <c r="BF194" s="578">
        <v>183341.71</v>
      </c>
      <c r="BG194" s="578">
        <v>0</v>
      </c>
      <c r="BH194" s="578">
        <v>0</v>
      </c>
      <c r="BI194" s="578">
        <v>35053</v>
      </c>
      <c r="BJ194" s="578">
        <v>0</v>
      </c>
      <c r="BK194" s="578">
        <v>0</v>
      </c>
      <c r="BL194" s="578">
        <v>9244.75</v>
      </c>
      <c r="BM194" s="578">
        <v>0</v>
      </c>
      <c r="BN194" s="578">
        <v>0</v>
      </c>
      <c r="BO194" s="578">
        <v>10000</v>
      </c>
      <c r="BP194" s="578">
        <v>0</v>
      </c>
      <c r="BQ194" s="578">
        <v>0</v>
      </c>
      <c r="BR194" s="578">
        <v>17583.72</v>
      </c>
      <c r="BS194" s="578">
        <v>0</v>
      </c>
      <c r="BT194" s="578">
        <v>0</v>
      </c>
      <c r="BU194" s="578">
        <v>75041.45</v>
      </c>
      <c r="BV194" s="578">
        <v>0</v>
      </c>
      <c r="BW194" s="578">
        <v>0</v>
      </c>
      <c r="BX194" s="578">
        <v>0</v>
      </c>
      <c r="BY194" s="578">
        <v>0</v>
      </c>
      <c r="BZ194" s="578">
        <v>2657482.02</v>
      </c>
      <c r="CA194" s="578">
        <v>2933420.84</v>
      </c>
      <c r="CB194" s="578">
        <v>9244.75</v>
      </c>
      <c r="CC194" s="578">
        <v>17583.72</v>
      </c>
      <c r="CD194" s="578">
        <v>75041.45</v>
      </c>
    </row>
    <row r="195" spans="1:82" hidden="1" x14ac:dyDescent="0.3">
      <c r="A195" s="574" t="s">
        <v>1780</v>
      </c>
      <c r="B195" s="577">
        <v>3307051</v>
      </c>
      <c r="C195" s="574">
        <f>_xlfn.XLOOKUP(B195,'[1]Blade-Export_15-08-2022_sources'!B:B,'[1]Blade-Export_15-08-2022_sources'!F:F,0,FALSE)</f>
        <v>330</v>
      </c>
      <c r="D195" s="574">
        <f>_xlfn.XLOOKUP($B195,'[1]Blade-Export_15-08-2022_sources'!$B:$B,'[1]Blade-Export_15-08-2022_sources'!G:G,0,FALSE)</f>
        <v>7051</v>
      </c>
      <c r="E195" s="574" t="str">
        <f>_xlfn.XLOOKUP($B195,'[1]Blade-Export_15-08-2022_sources'!$B:$B,'[1]Blade-Export_15-08-2022_sources'!H:H,0,FALSE)</f>
        <v>CHERRY OAK Spec</v>
      </c>
      <c r="F195" s="578">
        <v>333338.33</v>
      </c>
      <c r="G195" s="578">
        <v>0</v>
      </c>
      <c r="H195" s="578">
        <v>42439.33</v>
      </c>
      <c r="I195" s="578">
        <v>2045775.99</v>
      </c>
      <c r="J195" s="578">
        <v>0</v>
      </c>
      <c r="K195" s="578">
        <v>285232</v>
      </c>
      <c r="L195" s="578">
        <v>0</v>
      </c>
      <c r="M195" s="578">
        <v>91460</v>
      </c>
      <c r="N195" s="578">
        <v>5706.09</v>
      </c>
      <c r="O195" s="578">
        <v>0</v>
      </c>
      <c r="P195" s="578">
        <v>81414.92</v>
      </c>
      <c r="Q195" s="578">
        <v>0</v>
      </c>
      <c r="R195" s="578">
        <v>8208.58</v>
      </c>
      <c r="S195" s="578">
        <v>0</v>
      </c>
      <c r="T195" s="578">
        <v>0</v>
      </c>
      <c r="U195" s="578">
        <v>443.13</v>
      </c>
      <c r="V195" s="578">
        <v>0</v>
      </c>
      <c r="W195" s="578"/>
      <c r="X195" s="578">
        <v>0</v>
      </c>
      <c r="Y195" s="578">
        <v>0</v>
      </c>
      <c r="Z195" s="578">
        <v>0</v>
      </c>
      <c r="AA195" s="578">
        <v>0</v>
      </c>
      <c r="AB195" s="578">
        <v>15257.66</v>
      </c>
      <c r="AC195" s="578">
        <v>11200</v>
      </c>
      <c r="AD195" s="578">
        <v>25812</v>
      </c>
      <c r="AE195" s="578">
        <v>669480.78</v>
      </c>
      <c r="AF195" s="578">
        <v>0</v>
      </c>
      <c r="AG195" s="578">
        <v>959402.21</v>
      </c>
      <c r="AH195" s="578">
        <v>105145.82</v>
      </c>
      <c r="AI195" s="578">
        <v>86240.68</v>
      </c>
      <c r="AJ195" s="578">
        <v>0</v>
      </c>
      <c r="AK195" s="578">
        <v>44287.31</v>
      </c>
      <c r="AL195" s="578">
        <v>2287.4499999999998</v>
      </c>
      <c r="AM195" s="578">
        <v>10825.54</v>
      </c>
      <c r="AN195" s="578">
        <v>0</v>
      </c>
      <c r="AO195" s="578">
        <v>0</v>
      </c>
      <c r="AP195" s="578">
        <v>34250.53</v>
      </c>
      <c r="AQ195" s="578">
        <v>5656</v>
      </c>
      <c r="AR195" s="578">
        <v>1696.39</v>
      </c>
      <c r="AS195" s="578">
        <v>1891.96</v>
      </c>
      <c r="AT195" s="578">
        <v>16810.189999999999</v>
      </c>
      <c r="AU195" s="578">
        <v>0</v>
      </c>
      <c r="AV195" s="578">
        <v>9400.9</v>
      </c>
      <c r="AW195" s="578">
        <v>49204.78</v>
      </c>
      <c r="AX195" s="578">
        <v>23001.66</v>
      </c>
      <c r="AY195" s="578">
        <v>0</v>
      </c>
      <c r="AZ195" s="578">
        <v>5291.25</v>
      </c>
      <c r="BA195" s="578">
        <v>2850</v>
      </c>
      <c r="BB195" s="578">
        <v>0</v>
      </c>
      <c r="BC195" s="578">
        <v>65096.5</v>
      </c>
      <c r="BD195" s="578">
        <v>190007.44</v>
      </c>
      <c r="BE195" s="578">
        <v>1876.3</v>
      </c>
      <c r="BF195" s="578">
        <v>135711.16</v>
      </c>
      <c r="BG195" s="578">
        <v>0</v>
      </c>
      <c r="BH195" s="578">
        <v>269.13</v>
      </c>
      <c r="BI195" s="578">
        <v>13835.41</v>
      </c>
      <c r="BJ195" s="578">
        <v>0</v>
      </c>
      <c r="BK195" s="578">
        <v>0</v>
      </c>
      <c r="BL195" s="578">
        <v>9619.3799999999992</v>
      </c>
      <c r="BM195" s="578">
        <v>0</v>
      </c>
      <c r="BN195" s="578">
        <v>0</v>
      </c>
      <c r="BO195" s="578">
        <v>10000</v>
      </c>
      <c r="BP195" s="578">
        <v>0</v>
      </c>
      <c r="BQ195" s="578">
        <v>0</v>
      </c>
      <c r="BR195" s="578">
        <v>0</v>
      </c>
      <c r="BS195" s="578">
        <v>0</v>
      </c>
      <c r="BT195" s="578">
        <v>0</v>
      </c>
      <c r="BU195" s="578">
        <v>469329.31</v>
      </c>
      <c r="BV195" s="578">
        <v>52058.71</v>
      </c>
      <c r="BW195" s="578">
        <v>0</v>
      </c>
      <c r="BX195" s="578">
        <v>0</v>
      </c>
      <c r="BY195" s="578">
        <v>0</v>
      </c>
      <c r="BZ195" s="578">
        <v>2570510.37</v>
      </c>
      <c r="CA195" s="578">
        <v>2434519.39</v>
      </c>
      <c r="CB195" s="578">
        <v>9619.3799999999992</v>
      </c>
      <c r="CC195" s="578">
        <v>0</v>
      </c>
      <c r="CD195" s="578">
        <v>521388.02</v>
      </c>
    </row>
    <row r="196" spans="1:82" hidden="1" x14ac:dyDescent="0.3">
      <c r="A196" s="574" t="s">
        <v>1781</v>
      </c>
      <c r="B196" s="577">
        <v>3302312</v>
      </c>
      <c r="C196" s="574">
        <f>_xlfn.XLOOKUP(B196,'[1]Blade-Export_15-08-2022_sources'!B:B,'[1]Blade-Export_15-08-2022_sources'!F:F,0,FALSE)</f>
        <v>330</v>
      </c>
      <c r="D196" s="574">
        <f>_xlfn.XLOOKUP($B196,'[1]Blade-Export_15-08-2022_sources'!$B:$B,'[1]Blade-Export_15-08-2022_sources'!G:G,0,FALSE)</f>
        <v>2312</v>
      </c>
      <c r="E196" s="574" t="str">
        <f>_xlfn.XLOOKUP($B196,'[1]Blade-Export_15-08-2022_sources'!$B:$B,'[1]Blade-Export_15-08-2022_sources'!H:H,0,FALSE)</f>
        <v xml:space="preserve">CHAD VALE JI </v>
      </c>
      <c r="F196" s="578">
        <v>157306.43</v>
      </c>
      <c r="G196" s="578">
        <v>0</v>
      </c>
      <c r="H196" s="578">
        <v>29050.39</v>
      </c>
      <c r="I196" s="578">
        <v>1852917.98</v>
      </c>
      <c r="J196" s="578">
        <v>0</v>
      </c>
      <c r="K196" s="578">
        <v>175851.62</v>
      </c>
      <c r="L196" s="578">
        <v>0</v>
      </c>
      <c r="M196" s="578">
        <v>77940</v>
      </c>
      <c r="N196" s="578">
        <v>1771.88</v>
      </c>
      <c r="O196" s="578">
        <v>0</v>
      </c>
      <c r="P196" s="578">
        <v>300248.71999999997</v>
      </c>
      <c r="Q196" s="578">
        <v>997</v>
      </c>
      <c r="R196" s="578">
        <v>1225.08</v>
      </c>
      <c r="S196" s="578">
        <v>0</v>
      </c>
      <c r="T196" s="578">
        <v>0</v>
      </c>
      <c r="U196" s="578">
        <v>40703.839999999997</v>
      </c>
      <c r="V196" s="578">
        <v>0</v>
      </c>
      <c r="W196" s="578"/>
      <c r="X196" s="578">
        <v>0</v>
      </c>
      <c r="Y196" s="578">
        <v>0</v>
      </c>
      <c r="Z196" s="578">
        <v>0</v>
      </c>
      <c r="AA196" s="578">
        <v>0</v>
      </c>
      <c r="AB196" s="578">
        <v>7031.88</v>
      </c>
      <c r="AC196" s="578">
        <v>14000</v>
      </c>
      <c r="AD196" s="578">
        <v>87023</v>
      </c>
      <c r="AE196" s="578">
        <v>1112314.94</v>
      </c>
      <c r="AF196" s="578">
        <v>0</v>
      </c>
      <c r="AG196" s="578">
        <v>298116.40000000002</v>
      </c>
      <c r="AH196" s="578">
        <v>74832.88</v>
      </c>
      <c r="AI196" s="578">
        <v>277411.07</v>
      </c>
      <c r="AJ196" s="578">
        <v>33834.61</v>
      </c>
      <c r="AK196" s="578">
        <v>27444.99</v>
      </c>
      <c r="AL196" s="578">
        <v>14653.29</v>
      </c>
      <c r="AM196" s="578">
        <v>4043.99</v>
      </c>
      <c r="AN196" s="578">
        <v>0</v>
      </c>
      <c r="AO196" s="578">
        <v>0</v>
      </c>
      <c r="AP196" s="578">
        <v>78800.78</v>
      </c>
      <c r="AQ196" s="578">
        <v>1670.26</v>
      </c>
      <c r="AR196" s="578">
        <v>5171.84</v>
      </c>
      <c r="AS196" s="578">
        <v>2977.99</v>
      </c>
      <c r="AT196" s="578">
        <v>26800.51</v>
      </c>
      <c r="AU196" s="578">
        <v>29329.919999999998</v>
      </c>
      <c r="AV196" s="578">
        <v>8444.9599999999991</v>
      </c>
      <c r="AW196" s="578">
        <v>101704.05</v>
      </c>
      <c r="AX196" s="578">
        <v>25528.97</v>
      </c>
      <c r="AY196" s="578">
        <v>0</v>
      </c>
      <c r="AZ196" s="578">
        <v>24316.639999999999</v>
      </c>
      <c r="BA196" s="578">
        <v>8441</v>
      </c>
      <c r="BB196" s="578">
        <v>0</v>
      </c>
      <c r="BC196" s="578">
        <v>58726.27</v>
      </c>
      <c r="BD196" s="578">
        <v>316462.87</v>
      </c>
      <c r="BE196" s="578">
        <v>1127.25</v>
      </c>
      <c r="BF196" s="578">
        <v>114845.17</v>
      </c>
      <c r="BG196" s="578">
        <v>0</v>
      </c>
      <c r="BH196" s="578">
        <v>0</v>
      </c>
      <c r="BI196" s="578">
        <v>0</v>
      </c>
      <c r="BJ196" s="578">
        <v>0</v>
      </c>
      <c r="BK196" s="578">
        <v>0</v>
      </c>
      <c r="BL196" s="578">
        <v>8736.25</v>
      </c>
      <c r="BM196" s="578">
        <v>0</v>
      </c>
      <c r="BN196" s="578">
        <v>0</v>
      </c>
      <c r="BO196" s="578">
        <v>10000</v>
      </c>
      <c r="BP196" s="578">
        <v>0</v>
      </c>
      <c r="BQ196" s="578">
        <v>10560</v>
      </c>
      <c r="BR196" s="578">
        <v>0</v>
      </c>
      <c r="BS196" s="578">
        <v>0</v>
      </c>
      <c r="BT196" s="578">
        <v>0</v>
      </c>
      <c r="BU196" s="578">
        <v>70016.77</v>
      </c>
      <c r="BV196" s="578">
        <v>27226.639999999999</v>
      </c>
      <c r="BW196" s="578">
        <v>0</v>
      </c>
      <c r="BX196" s="578">
        <v>0</v>
      </c>
      <c r="BY196" s="578">
        <v>0</v>
      </c>
      <c r="BZ196" s="578">
        <v>2559711</v>
      </c>
      <c r="CA196" s="578">
        <v>2647000.65</v>
      </c>
      <c r="CB196" s="578">
        <v>8736.25</v>
      </c>
      <c r="CC196" s="578">
        <v>10560</v>
      </c>
      <c r="CD196" s="578">
        <v>97243.41</v>
      </c>
    </row>
    <row r="197" spans="1:82" hidden="1" x14ac:dyDescent="0.3">
      <c r="A197" s="574" t="s">
        <v>1782</v>
      </c>
      <c r="B197" s="577">
        <v>3301048</v>
      </c>
      <c r="C197" s="574">
        <f>_xlfn.XLOOKUP(B197,'[1]Blade-Export_15-08-2022_sources'!B:B,'[1]Blade-Export_15-08-2022_sources'!F:F,0,FALSE)</f>
        <v>330</v>
      </c>
      <c r="D197" s="574">
        <f>_xlfn.XLOOKUP($B197,'[1]Blade-Export_15-08-2022_sources'!$B:$B,'[1]Blade-Export_15-08-2022_sources'!G:G,0,FALSE)</f>
        <v>1048</v>
      </c>
      <c r="E197" s="574" t="str">
        <f>_xlfn.XLOOKUP($B197,'[1]Blade-Export_15-08-2022_sources'!$B:$B,'[1]Blade-Export_15-08-2022_sources'!H:H,0,FALSE)</f>
        <v>CASTLE VALE Nurs</v>
      </c>
      <c r="F197" s="578">
        <v>316863.3</v>
      </c>
      <c r="G197" s="578">
        <v>0</v>
      </c>
      <c r="H197" s="578">
        <v>25881.040000000001</v>
      </c>
      <c r="I197" s="578">
        <v>762103.37</v>
      </c>
      <c r="J197" s="578">
        <v>0</v>
      </c>
      <c r="K197" s="578">
        <v>33042.58</v>
      </c>
      <c r="L197" s="578">
        <v>0</v>
      </c>
      <c r="M197" s="578">
        <v>0</v>
      </c>
      <c r="N197" s="578">
        <v>0</v>
      </c>
      <c r="O197" s="578">
        <v>0</v>
      </c>
      <c r="P197" s="578">
        <v>100827.52</v>
      </c>
      <c r="Q197" s="578">
        <v>443.61</v>
      </c>
      <c r="R197" s="578">
        <v>132.94999999999999</v>
      </c>
      <c r="S197" s="578">
        <v>0</v>
      </c>
      <c r="T197" s="578">
        <v>0</v>
      </c>
      <c r="U197" s="578">
        <v>12079.65</v>
      </c>
      <c r="V197" s="578">
        <v>0</v>
      </c>
      <c r="W197" s="578"/>
      <c r="X197" s="578">
        <v>0</v>
      </c>
      <c r="Y197" s="578">
        <v>0</v>
      </c>
      <c r="Z197" s="578">
        <v>0</v>
      </c>
      <c r="AA197" s="578">
        <v>0</v>
      </c>
      <c r="AB197" s="578">
        <v>0</v>
      </c>
      <c r="AC197" s="578">
        <v>0</v>
      </c>
      <c r="AD197" s="578">
        <v>0</v>
      </c>
      <c r="AE197" s="578">
        <v>224933.51</v>
      </c>
      <c r="AF197" s="578">
        <v>0</v>
      </c>
      <c r="AG197" s="578">
        <v>203677.97</v>
      </c>
      <c r="AH197" s="578">
        <v>0</v>
      </c>
      <c r="AI197" s="578">
        <v>105510.29</v>
      </c>
      <c r="AJ197" s="578">
        <v>0</v>
      </c>
      <c r="AK197" s="578">
        <v>158917.72</v>
      </c>
      <c r="AL197" s="578">
        <v>2094.62</v>
      </c>
      <c r="AM197" s="578">
        <v>5074.2</v>
      </c>
      <c r="AN197" s="578">
        <v>0</v>
      </c>
      <c r="AO197" s="578">
        <v>0</v>
      </c>
      <c r="AP197" s="578">
        <v>10356.32</v>
      </c>
      <c r="AQ197" s="578">
        <v>0</v>
      </c>
      <c r="AR197" s="578">
        <v>4679.97</v>
      </c>
      <c r="AS197" s="578">
        <v>1300.56</v>
      </c>
      <c r="AT197" s="578">
        <v>633.5</v>
      </c>
      <c r="AU197" s="578">
        <v>10853.25</v>
      </c>
      <c r="AV197" s="578">
        <v>1833.25</v>
      </c>
      <c r="AW197" s="578">
        <v>38025.43</v>
      </c>
      <c r="AX197" s="578">
        <v>8820.08</v>
      </c>
      <c r="AY197" s="578">
        <v>0</v>
      </c>
      <c r="AZ197" s="578">
        <v>10966.24</v>
      </c>
      <c r="BA197" s="578">
        <v>2850</v>
      </c>
      <c r="BB197" s="578">
        <v>0</v>
      </c>
      <c r="BC197" s="578">
        <v>36516.959999999999</v>
      </c>
      <c r="BD197" s="578">
        <v>0</v>
      </c>
      <c r="BE197" s="578">
        <v>995</v>
      </c>
      <c r="BF197" s="578">
        <v>69801.039999999994</v>
      </c>
      <c r="BG197" s="578">
        <v>0</v>
      </c>
      <c r="BH197" s="578">
        <v>0</v>
      </c>
      <c r="BI197" s="578">
        <v>0</v>
      </c>
      <c r="BJ197" s="578">
        <v>0</v>
      </c>
      <c r="BK197" s="578">
        <v>0</v>
      </c>
      <c r="BL197" s="578">
        <v>5235.25</v>
      </c>
      <c r="BM197" s="578">
        <v>0</v>
      </c>
      <c r="BN197" s="578">
        <v>0</v>
      </c>
      <c r="BO197" s="578">
        <v>10000</v>
      </c>
      <c r="BP197" s="578">
        <v>0</v>
      </c>
      <c r="BQ197" s="578">
        <v>0</v>
      </c>
      <c r="BR197" s="578">
        <v>0</v>
      </c>
      <c r="BS197" s="578">
        <v>0</v>
      </c>
      <c r="BT197" s="578">
        <v>0</v>
      </c>
      <c r="BU197" s="578">
        <v>327653.07</v>
      </c>
      <c r="BV197" s="578">
        <v>31116.29</v>
      </c>
      <c r="BW197" s="578">
        <v>0</v>
      </c>
      <c r="BX197" s="578">
        <v>0</v>
      </c>
      <c r="BY197" s="578">
        <v>0</v>
      </c>
      <c r="BZ197" s="578">
        <v>908629.68</v>
      </c>
      <c r="CA197" s="578">
        <v>897839.91</v>
      </c>
      <c r="CB197" s="578">
        <v>5235.25</v>
      </c>
      <c r="CC197" s="578">
        <v>0</v>
      </c>
      <c r="CD197" s="578">
        <v>358769.36</v>
      </c>
    </row>
    <row r="198" spans="1:82" hidden="1" x14ac:dyDescent="0.3">
      <c r="A198" s="574" t="s">
        <v>1783</v>
      </c>
      <c r="B198" s="577">
        <v>3304801</v>
      </c>
      <c r="C198" s="574">
        <f>_xlfn.XLOOKUP(B198,'[1]Blade-Export_15-08-2022_sources'!B:B,'[1]Blade-Export_15-08-2022_sources'!F:F,0,FALSE)</f>
        <v>330</v>
      </c>
      <c r="D198" s="574">
        <f>_xlfn.XLOOKUP($B198,'[1]Blade-Export_15-08-2022_sources'!$B:$B,'[1]Blade-Export_15-08-2022_sources'!G:G,0,FALSE)</f>
        <v>4801</v>
      </c>
      <c r="E198" s="574" t="str">
        <f>_xlfn.XLOOKUP($B198,'[1]Blade-Export_15-08-2022_sources'!$B:$B,'[1]Blade-Export_15-08-2022_sources'!H:H,0,FALSE)</f>
        <v xml:space="preserve">CARDINAL WISEMAN RC Sec </v>
      </c>
      <c r="F198" s="578">
        <v>164714.44</v>
      </c>
      <c r="G198" s="578">
        <v>0</v>
      </c>
      <c r="H198" s="578">
        <v>0</v>
      </c>
      <c r="I198" s="578">
        <v>4762042.78</v>
      </c>
      <c r="J198" s="578">
        <v>0</v>
      </c>
      <c r="K198" s="578">
        <v>51581.68</v>
      </c>
      <c r="L198" s="578">
        <v>0</v>
      </c>
      <c r="M198" s="578">
        <v>390828.07</v>
      </c>
      <c r="N198" s="578">
        <v>21520</v>
      </c>
      <c r="O198" s="578">
        <v>0</v>
      </c>
      <c r="P198" s="578">
        <v>103821.2</v>
      </c>
      <c r="Q198" s="578">
        <v>0</v>
      </c>
      <c r="R198" s="578">
        <v>0</v>
      </c>
      <c r="S198" s="578">
        <v>0</v>
      </c>
      <c r="T198" s="578">
        <v>0</v>
      </c>
      <c r="U198" s="578">
        <v>32970</v>
      </c>
      <c r="V198" s="578">
        <v>0</v>
      </c>
      <c r="W198" s="578"/>
      <c r="X198" s="578">
        <v>0</v>
      </c>
      <c r="Y198" s="578">
        <v>0</v>
      </c>
      <c r="Z198" s="578">
        <v>0</v>
      </c>
      <c r="AA198" s="578">
        <v>0</v>
      </c>
      <c r="AB198" s="578">
        <v>64062.5</v>
      </c>
      <c r="AC198" s="578">
        <v>23200</v>
      </c>
      <c r="AD198" s="578">
        <v>0</v>
      </c>
      <c r="AE198" s="578">
        <v>3069047.07</v>
      </c>
      <c r="AF198" s="578">
        <v>0</v>
      </c>
      <c r="AG198" s="578">
        <v>452940.23</v>
      </c>
      <c r="AH198" s="578">
        <v>152882.57</v>
      </c>
      <c r="AI198" s="578">
        <v>223734.49</v>
      </c>
      <c r="AJ198" s="578">
        <v>111735.24</v>
      </c>
      <c r="AK198" s="578">
        <v>47699.96</v>
      </c>
      <c r="AL198" s="578">
        <v>47531.79</v>
      </c>
      <c r="AM198" s="578">
        <v>960</v>
      </c>
      <c r="AN198" s="578">
        <v>0</v>
      </c>
      <c r="AO198" s="578">
        <v>11920.84</v>
      </c>
      <c r="AP198" s="578">
        <v>297607.65000000002</v>
      </c>
      <c r="AQ198" s="578">
        <v>9094.74</v>
      </c>
      <c r="AR198" s="578">
        <v>5650.68</v>
      </c>
      <c r="AS198" s="578">
        <v>1927.21</v>
      </c>
      <c r="AT198" s="578">
        <v>72930.7</v>
      </c>
      <c r="AU198" s="578">
        <v>13481.47</v>
      </c>
      <c r="AV198" s="578">
        <v>9121.58</v>
      </c>
      <c r="AW198" s="578">
        <v>313771.56</v>
      </c>
      <c r="AX198" s="578">
        <v>73422.12</v>
      </c>
      <c r="AY198" s="578">
        <v>39816.550000000003</v>
      </c>
      <c r="AZ198" s="578">
        <v>42367.519999999997</v>
      </c>
      <c r="BA198" s="578">
        <v>21337.15</v>
      </c>
      <c r="BB198" s="578">
        <v>0</v>
      </c>
      <c r="BC198" s="578">
        <v>30071.58</v>
      </c>
      <c r="BD198" s="578">
        <v>70620.55</v>
      </c>
      <c r="BE198" s="578">
        <v>124370.18</v>
      </c>
      <c r="BF198" s="578">
        <v>111203.11</v>
      </c>
      <c r="BG198" s="578">
        <v>0</v>
      </c>
      <c r="BH198" s="578">
        <v>589.95000000000005</v>
      </c>
      <c r="BI198" s="578">
        <v>10188</v>
      </c>
      <c r="BJ198" s="578">
        <v>0</v>
      </c>
      <c r="BK198" s="578">
        <v>0</v>
      </c>
      <c r="BL198" s="578">
        <v>0</v>
      </c>
      <c r="BM198" s="578">
        <v>0</v>
      </c>
      <c r="BN198" s="578">
        <v>0</v>
      </c>
      <c r="BO198" s="578">
        <v>10000</v>
      </c>
      <c r="BP198" s="578">
        <v>0</v>
      </c>
      <c r="BQ198" s="578">
        <v>0</v>
      </c>
      <c r="BR198" s="578">
        <v>0</v>
      </c>
      <c r="BS198" s="578">
        <v>0</v>
      </c>
      <c r="BT198" s="578">
        <v>0</v>
      </c>
      <c r="BU198" s="578">
        <v>248716.19</v>
      </c>
      <c r="BV198" s="578">
        <v>0</v>
      </c>
      <c r="BW198" s="578">
        <v>0</v>
      </c>
      <c r="BX198" s="578">
        <v>0</v>
      </c>
      <c r="BY198" s="578">
        <v>0</v>
      </c>
      <c r="BZ198" s="578">
        <v>5450026.2300000004</v>
      </c>
      <c r="CA198" s="578">
        <v>5366024.49</v>
      </c>
      <c r="CB198" s="578">
        <v>0</v>
      </c>
      <c r="CC198" s="578">
        <v>0</v>
      </c>
      <c r="CD198" s="578">
        <v>248716.19</v>
      </c>
    </row>
    <row r="199" spans="1:82" hidden="1" x14ac:dyDescent="0.3">
      <c r="A199" s="574" t="s">
        <v>1784</v>
      </c>
      <c r="B199" s="577">
        <v>3302465</v>
      </c>
      <c r="C199" s="574">
        <f>_xlfn.XLOOKUP(B199,'[1]Blade-Export_15-08-2022_sources'!B:B,'[1]Blade-Export_15-08-2022_sources'!F:F,0,FALSE)</f>
        <v>330</v>
      </c>
      <c r="D199" s="574">
        <f>_xlfn.XLOOKUP($B199,'[1]Blade-Export_15-08-2022_sources'!$B:$B,'[1]Blade-Export_15-08-2022_sources'!G:G,0,FALSE)</f>
        <v>2465</v>
      </c>
      <c r="E199" s="574" t="str">
        <f>_xlfn.XLOOKUP($B199,'[1]Blade-Export_15-08-2022_sources'!$B:$B,'[1]Blade-Export_15-08-2022_sources'!H:H,0,FALSE)</f>
        <v>CALSHOT JI NC</v>
      </c>
      <c r="F199" s="578">
        <v>132335.76999999999</v>
      </c>
      <c r="G199" s="578">
        <v>0</v>
      </c>
      <c r="H199" s="578">
        <v>9617.06</v>
      </c>
      <c r="I199" s="578">
        <v>2205500.98</v>
      </c>
      <c r="J199" s="578">
        <v>0</v>
      </c>
      <c r="K199" s="578">
        <v>5656.25</v>
      </c>
      <c r="L199" s="578">
        <v>0</v>
      </c>
      <c r="M199" s="578">
        <v>112600</v>
      </c>
      <c r="N199" s="578">
        <v>2480.63</v>
      </c>
      <c r="O199" s="578">
        <v>0</v>
      </c>
      <c r="P199" s="578">
        <v>0</v>
      </c>
      <c r="Q199" s="578">
        <v>67.58</v>
      </c>
      <c r="R199" s="578">
        <v>0</v>
      </c>
      <c r="S199" s="578">
        <v>0</v>
      </c>
      <c r="T199" s="578">
        <v>0</v>
      </c>
      <c r="U199" s="578">
        <v>63420</v>
      </c>
      <c r="V199" s="578">
        <v>0</v>
      </c>
      <c r="W199" s="578"/>
      <c r="X199" s="578">
        <v>0</v>
      </c>
      <c r="Y199" s="578">
        <v>0</v>
      </c>
      <c r="Z199" s="578">
        <v>0</v>
      </c>
      <c r="AA199" s="578">
        <v>0</v>
      </c>
      <c r="AB199" s="578">
        <v>8280.6299999999992</v>
      </c>
      <c r="AC199" s="578">
        <v>13830</v>
      </c>
      <c r="AD199" s="578">
        <v>80717</v>
      </c>
      <c r="AE199" s="578">
        <v>1143492.3600000001</v>
      </c>
      <c r="AF199" s="578">
        <v>0</v>
      </c>
      <c r="AG199" s="578">
        <v>320713</v>
      </c>
      <c r="AH199" s="578">
        <v>0</v>
      </c>
      <c r="AI199" s="578">
        <v>98247.1</v>
      </c>
      <c r="AJ199" s="578">
        <v>0</v>
      </c>
      <c r="AK199" s="578">
        <v>142419.39000000001</v>
      </c>
      <c r="AL199" s="578">
        <v>312</v>
      </c>
      <c r="AM199" s="578">
        <v>3797</v>
      </c>
      <c r="AN199" s="578">
        <v>0</v>
      </c>
      <c r="AO199" s="578">
        <v>0</v>
      </c>
      <c r="AP199" s="578">
        <v>27230.11</v>
      </c>
      <c r="AQ199" s="578">
        <v>0</v>
      </c>
      <c r="AR199" s="578">
        <v>507.05</v>
      </c>
      <c r="AS199" s="578">
        <v>6671.53</v>
      </c>
      <c r="AT199" s="578">
        <v>51381.1</v>
      </c>
      <c r="AU199" s="578">
        <v>31130.880000000001</v>
      </c>
      <c r="AV199" s="578">
        <v>1128</v>
      </c>
      <c r="AW199" s="578">
        <v>53130.83</v>
      </c>
      <c r="AX199" s="578">
        <v>40275.42</v>
      </c>
      <c r="AY199" s="578">
        <v>0</v>
      </c>
      <c r="AZ199" s="578">
        <v>502883.35</v>
      </c>
      <c r="BA199" s="578">
        <v>8500</v>
      </c>
      <c r="BB199" s="578">
        <v>0</v>
      </c>
      <c r="BC199" s="578">
        <v>65792.639999999999</v>
      </c>
      <c r="BD199" s="578">
        <v>38080.6</v>
      </c>
      <c r="BE199" s="578">
        <v>0</v>
      </c>
      <c r="BF199" s="578">
        <v>40856.65</v>
      </c>
      <c r="BG199" s="578">
        <v>0</v>
      </c>
      <c r="BH199" s="578">
        <v>0</v>
      </c>
      <c r="BI199" s="578">
        <v>0</v>
      </c>
      <c r="BJ199" s="578">
        <v>0</v>
      </c>
      <c r="BK199" s="578">
        <v>0</v>
      </c>
      <c r="BL199" s="578">
        <v>9069.25</v>
      </c>
      <c r="BM199" s="578">
        <v>0</v>
      </c>
      <c r="BN199" s="578">
        <v>0</v>
      </c>
      <c r="BO199" s="578">
        <v>10000</v>
      </c>
      <c r="BP199" s="578">
        <v>0</v>
      </c>
      <c r="BQ199" s="578">
        <v>0</v>
      </c>
      <c r="BR199" s="578">
        <v>0</v>
      </c>
      <c r="BS199" s="578">
        <v>8157.48</v>
      </c>
      <c r="BT199" s="578">
        <v>0</v>
      </c>
      <c r="BU199" s="578">
        <v>48339.82</v>
      </c>
      <c r="BV199" s="578">
        <v>10528.83</v>
      </c>
      <c r="BW199" s="578">
        <v>0</v>
      </c>
      <c r="BX199" s="578">
        <v>0</v>
      </c>
      <c r="BY199" s="578">
        <v>0</v>
      </c>
      <c r="BZ199" s="578">
        <v>2492553.0699999998</v>
      </c>
      <c r="CA199" s="578">
        <v>2576549.0099999998</v>
      </c>
      <c r="CB199" s="578">
        <v>9069.25</v>
      </c>
      <c r="CC199" s="578">
        <v>8157.48</v>
      </c>
      <c r="CD199" s="578">
        <v>58868.65</v>
      </c>
    </row>
    <row r="200" spans="1:82" hidden="1" x14ac:dyDescent="0.3">
      <c r="A200" s="574" t="s">
        <v>1785</v>
      </c>
      <c r="B200" s="577">
        <v>3302236</v>
      </c>
      <c r="C200" s="574">
        <f>_xlfn.XLOOKUP(B200,'[1]Blade-Export_15-08-2022_sources'!B:B,'[1]Blade-Export_15-08-2022_sources'!F:F,0,FALSE)</f>
        <v>330</v>
      </c>
      <c r="D200" s="574">
        <f>_xlfn.XLOOKUP($B200,'[1]Blade-Export_15-08-2022_sources'!$B:$B,'[1]Blade-Export_15-08-2022_sources'!G:G,0,FALSE)</f>
        <v>2236</v>
      </c>
      <c r="E200" s="574" t="str">
        <f>_xlfn.XLOOKUP($B200,'[1]Blade-Export_15-08-2022_sources'!$B:$B,'[1]Blade-Export_15-08-2022_sources'!H:H,0,FALSE)</f>
        <v xml:space="preserve">BROADMEADOW J </v>
      </c>
      <c r="F200" s="578">
        <v>327722.81</v>
      </c>
      <c r="G200" s="578">
        <v>0</v>
      </c>
      <c r="H200" s="578">
        <v>1628.2</v>
      </c>
      <c r="I200" s="578">
        <v>1167619.42</v>
      </c>
      <c r="J200" s="578">
        <v>0</v>
      </c>
      <c r="K200" s="578">
        <v>0</v>
      </c>
      <c r="L200" s="578">
        <v>0</v>
      </c>
      <c r="M200" s="578">
        <v>178505</v>
      </c>
      <c r="N200" s="578">
        <v>4665.9399999999996</v>
      </c>
      <c r="O200" s="578">
        <v>0</v>
      </c>
      <c r="P200" s="578">
        <v>30478.33</v>
      </c>
      <c r="Q200" s="578">
        <v>0</v>
      </c>
      <c r="R200" s="578">
        <v>10055.85</v>
      </c>
      <c r="S200" s="578">
        <v>0</v>
      </c>
      <c r="T200" s="578">
        <v>0</v>
      </c>
      <c r="U200" s="578">
        <v>7664.5</v>
      </c>
      <c r="V200" s="578">
        <v>0</v>
      </c>
      <c r="W200" s="578"/>
      <c r="X200" s="578">
        <v>0</v>
      </c>
      <c r="Y200" s="578">
        <v>0</v>
      </c>
      <c r="Z200" s="578">
        <v>0</v>
      </c>
      <c r="AA200" s="578">
        <v>0</v>
      </c>
      <c r="AB200" s="578">
        <v>14163.44</v>
      </c>
      <c r="AC200" s="578">
        <v>7660</v>
      </c>
      <c r="AD200" s="578">
        <v>18245</v>
      </c>
      <c r="AE200" s="578">
        <v>735494.82</v>
      </c>
      <c r="AF200" s="578">
        <v>9210.86</v>
      </c>
      <c r="AG200" s="578">
        <v>176578.41</v>
      </c>
      <c r="AH200" s="578">
        <v>38489.769999999997</v>
      </c>
      <c r="AI200" s="578">
        <v>76410.87</v>
      </c>
      <c r="AJ200" s="578">
        <v>0</v>
      </c>
      <c r="AK200" s="578">
        <v>29646.83</v>
      </c>
      <c r="AL200" s="578">
        <v>2575.4</v>
      </c>
      <c r="AM200" s="578">
        <v>1985</v>
      </c>
      <c r="AN200" s="578">
        <v>0</v>
      </c>
      <c r="AO200" s="578">
        <v>0</v>
      </c>
      <c r="AP200" s="578">
        <v>15444.67</v>
      </c>
      <c r="AQ200" s="578">
        <v>1962.57</v>
      </c>
      <c r="AR200" s="578">
        <v>5837.4</v>
      </c>
      <c r="AS200" s="578">
        <v>8697.24</v>
      </c>
      <c r="AT200" s="578">
        <v>19907.48</v>
      </c>
      <c r="AU200" s="578">
        <v>15560.29</v>
      </c>
      <c r="AV200" s="578">
        <v>2652</v>
      </c>
      <c r="AW200" s="578">
        <v>71772.67</v>
      </c>
      <c r="AX200" s="578">
        <v>238.68</v>
      </c>
      <c r="AY200" s="578">
        <v>0</v>
      </c>
      <c r="AZ200" s="578">
        <v>32662.12</v>
      </c>
      <c r="BA200" s="578">
        <v>4450</v>
      </c>
      <c r="BB200" s="578">
        <v>0</v>
      </c>
      <c r="BC200" s="578">
        <v>558.94000000000005</v>
      </c>
      <c r="BD200" s="578">
        <v>15429.62</v>
      </c>
      <c r="BE200" s="578">
        <v>10352.75</v>
      </c>
      <c r="BF200" s="578">
        <v>133733.51</v>
      </c>
      <c r="BG200" s="578">
        <v>0</v>
      </c>
      <c r="BH200" s="578">
        <v>149.18</v>
      </c>
      <c r="BI200" s="578">
        <v>65275</v>
      </c>
      <c r="BJ200" s="578">
        <v>0</v>
      </c>
      <c r="BK200" s="578">
        <v>0</v>
      </c>
      <c r="BL200" s="578">
        <v>6565</v>
      </c>
      <c r="BM200" s="578">
        <v>0</v>
      </c>
      <c r="BN200" s="578">
        <v>0</v>
      </c>
      <c r="BO200" s="578">
        <v>10000</v>
      </c>
      <c r="BP200" s="578">
        <v>0</v>
      </c>
      <c r="BQ200" s="578">
        <v>0</v>
      </c>
      <c r="BR200" s="578">
        <v>0</v>
      </c>
      <c r="BS200" s="578">
        <v>0</v>
      </c>
      <c r="BT200" s="578">
        <v>0</v>
      </c>
      <c r="BU200" s="578">
        <v>291704.21000000002</v>
      </c>
      <c r="BV200" s="578">
        <v>8193.2000000000007</v>
      </c>
      <c r="BW200" s="578">
        <v>0</v>
      </c>
      <c r="BX200" s="578">
        <v>0</v>
      </c>
      <c r="BY200" s="578">
        <v>0</v>
      </c>
      <c r="BZ200" s="578">
        <v>1439057.48</v>
      </c>
      <c r="CA200" s="578">
        <v>1475076.08</v>
      </c>
      <c r="CB200" s="578">
        <v>6565</v>
      </c>
      <c r="CC200" s="578">
        <v>0</v>
      </c>
      <c r="CD200" s="578">
        <v>299897.40999999997</v>
      </c>
    </row>
    <row r="201" spans="1:82" hidden="1" x14ac:dyDescent="0.3">
      <c r="A201" s="574" t="s">
        <v>1786</v>
      </c>
      <c r="B201" s="577">
        <v>3302238</v>
      </c>
      <c r="C201" s="574">
        <f>_xlfn.XLOOKUP(B201,'[1]Blade-Export_15-08-2022_sources'!B:B,'[1]Blade-Export_15-08-2022_sources'!F:F,0,FALSE)</f>
        <v>330</v>
      </c>
      <c r="D201" s="574">
        <f>_xlfn.XLOOKUP($B201,'[1]Blade-Export_15-08-2022_sources'!$B:$B,'[1]Blade-Export_15-08-2022_sources'!G:G,0,FALSE)</f>
        <v>2238</v>
      </c>
      <c r="E201" s="574" t="str">
        <f>_xlfn.XLOOKUP($B201,'[1]Blade-Export_15-08-2022_sources'!$B:$B,'[1]Blade-Export_15-08-2022_sources'!H:H,0,FALSE)</f>
        <v>BROADMEADOW I NC</v>
      </c>
      <c r="F201" s="578">
        <v>241091.4</v>
      </c>
      <c r="G201" s="578">
        <v>0</v>
      </c>
      <c r="H201" s="578">
        <v>8651.7099999999991</v>
      </c>
      <c r="I201" s="578">
        <v>967942.1</v>
      </c>
      <c r="J201" s="578">
        <v>0</v>
      </c>
      <c r="K201" s="578">
        <v>0</v>
      </c>
      <c r="L201" s="578">
        <v>0</v>
      </c>
      <c r="M201" s="578">
        <v>97460</v>
      </c>
      <c r="N201" s="578">
        <v>1830.94</v>
      </c>
      <c r="O201" s="578">
        <v>0</v>
      </c>
      <c r="P201" s="578">
        <v>177006.05</v>
      </c>
      <c r="Q201" s="578">
        <v>0</v>
      </c>
      <c r="R201" s="578">
        <v>4</v>
      </c>
      <c r="S201" s="578">
        <v>0</v>
      </c>
      <c r="T201" s="578">
        <v>0</v>
      </c>
      <c r="U201" s="578">
        <v>0</v>
      </c>
      <c r="V201" s="578">
        <v>0</v>
      </c>
      <c r="W201" s="578"/>
      <c r="X201" s="578">
        <v>0</v>
      </c>
      <c r="Y201" s="578">
        <v>0</v>
      </c>
      <c r="Z201" s="578">
        <v>0</v>
      </c>
      <c r="AA201" s="578">
        <v>0</v>
      </c>
      <c r="AB201" s="578">
        <v>7050.94</v>
      </c>
      <c r="AC201" s="578">
        <v>5500</v>
      </c>
      <c r="AD201" s="578">
        <v>54014</v>
      </c>
      <c r="AE201" s="578">
        <v>523906.23</v>
      </c>
      <c r="AF201" s="578">
        <v>24876.87</v>
      </c>
      <c r="AG201" s="578">
        <v>159577.91</v>
      </c>
      <c r="AH201" s="578">
        <v>40432.19</v>
      </c>
      <c r="AI201" s="578">
        <v>50523.97</v>
      </c>
      <c r="AJ201" s="578">
        <v>19188.47</v>
      </c>
      <c r="AK201" s="578">
        <v>26232.52</v>
      </c>
      <c r="AL201" s="578">
        <v>3942.61</v>
      </c>
      <c r="AM201" s="578">
        <v>614.4</v>
      </c>
      <c r="AN201" s="578">
        <v>0</v>
      </c>
      <c r="AO201" s="578">
        <v>0</v>
      </c>
      <c r="AP201" s="578">
        <v>32772.11</v>
      </c>
      <c r="AQ201" s="578">
        <v>5036.4799999999996</v>
      </c>
      <c r="AR201" s="578">
        <v>1087.45</v>
      </c>
      <c r="AS201" s="578">
        <v>3984.15</v>
      </c>
      <c r="AT201" s="578">
        <v>21632.21</v>
      </c>
      <c r="AU201" s="578">
        <v>13255.07</v>
      </c>
      <c r="AV201" s="578">
        <v>3112.6</v>
      </c>
      <c r="AW201" s="578">
        <v>20735.189999999999</v>
      </c>
      <c r="AX201" s="578">
        <v>14801.92</v>
      </c>
      <c r="AY201" s="578">
        <v>0</v>
      </c>
      <c r="AZ201" s="578">
        <v>21681.56</v>
      </c>
      <c r="BA201" s="578">
        <v>4450</v>
      </c>
      <c r="BB201" s="578">
        <v>0</v>
      </c>
      <c r="BC201" s="578">
        <v>29999.52</v>
      </c>
      <c r="BD201" s="578">
        <v>60653.41</v>
      </c>
      <c r="BE201" s="578">
        <v>75174.289999999994</v>
      </c>
      <c r="BF201" s="578">
        <v>93034.13</v>
      </c>
      <c r="BG201" s="578">
        <v>0</v>
      </c>
      <c r="BH201" s="578">
        <v>132.88999999999999</v>
      </c>
      <c r="BI201" s="578">
        <v>27635</v>
      </c>
      <c r="BJ201" s="578">
        <v>0</v>
      </c>
      <c r="BK201" s="578">
        <v>0</v>
      </c>
      <c r="BL201" s="578">
        <v>6173.5</v>
      </c>
      <c r="BM201" s="578">
        <v>0</v>
      </c>
      <c r="BN201" s="578">
        <v>0</v>
      </c>
      <c r="BO201" s="578">
        <v>10000</v>
      </c>
      <c r="BP201" s="578">
        <v>0</v>
      </c>
      <c r="BQ201" s="578">
        <v>0</v>
      </c>
      <c r="BR201" s="578">
        <v>0</v>
      </c>
      <c r="BS201" s="578">
        <v>0</v>
      </c>
      <c r="BT201" s="578">
        <v>0</v>
      </c>
      <c r="BU201" s="578">
        <v>273426.27</v>
      </c>
      <c r="BV201" s="578">
        <v>14825.21</v>
      </c>
      <c r="BW201" s="578">
        <v>0</v>
      </c>
      <c r="BX201" s="578">
        <v>0</v>
      </c>
      <c r="BY201" s="578">
        <v>0</v>
      </c>
      <c r="BZ201" s="578">
        <v>1310808.03</v>
      </c>
      <c r="CA201" s="578">
        <v>1278473.1499999999</v>
      </c>
      <c r="CB201" s="578">
        <v>6173.5</v>
      </c>
      <c r="CC201" s="578">
        <v>0</v>
      </c>
      <c r="CD201" s="578">
        <v>288251.48</v>
      </c>
    </row>
    <row r="202" spans="1:82" hidden="1" x14ac:dyDescent="0.3">
      <c r="A202" s="574" t="s">
        <v>1787</v>
      </c>
      <c r="B202" s="577">
        <v>3301002</v>
      </c>
      <c r="C202" s="574">
        <f>_xlfn.XLOOKUP(B202,'[1]Blade-Export_15-08-2022_sources'!B:B,'[1]Blade-Export_15-08-2022_sources'!F:F,0,FALSE)</f>
        <v>330</v>
      </c>
      <c r="D202" s="574">
        <f>_xlfn.XLOOKUP($B202,'[1]Blade-Export_15-08-2022_sources'!$B:$B,'[1]Blade-Export_15-08-2022_sources'!G:G,0,FALSE)</f>
        <v>1002</v>
      </c>
      <c r="E202" s="574" t="str">
        <f>_xlfn.XLOOKUP($B202,'[1]Blade-Export_15-08-2022_sources'!$B:$B,'[1]Blade-Export_15-08-2022_sources'!H:H,0,FALSE)</f>
        <v>BREARLEY ST Nurs</v>
      </c>
      <c r="F202" s="578">
        <v>-57143.29</v>
      </c>
      <c r="G202" s="578">
        <v>0</v>
      </c>
      <c r="H202" s="578">
        <v>21516.85</v>
      </c>
      <c r="I202" s="578">
        <v>655976.28</v>
      </c>
      <c r="J202" s="578">
        <v>0</v>
      </c>
      <c r="K202" s="578">
        <v>11100</v>
      </c>
      <c r="L202" s="578">
        <v>0</v>
      </c>
      <c r="M202" s="578">
        <v>0</v>
      </c>
      <c r="N202" s="578">
        <v>0</v>
      </c>
      <c r="O202" s="578">
        <v>0</v>
      </c>
      <c r="P202" s="578">
        <v>24785.07</v>
      </c>
      <c r="Q202" s="578">
        <v>0</v>
      </c>
      <c r="R202" s="578">
        <v>0</v>
      </c>
      <c r="S202" s="578">
        <v>0</v>
      </c>
      <c r="T202" s="578">
        <v>0</v>
      </c>
      <c r="U202" s="578">
        <v>22803.94</v>
      </c>
      <c r="V202" s="578">
        <v>0</v>
      </c>
      <c r="W202" s="578"/>
      <c r="X202" s="578">
        <v>0</v>
      </c>
      <c r="Y202" s="578">
        <v>0</v>
      </c>
      <c r="Z202" s="578">
        <v>0</v>
      </c>
      <c r="AA202" s="578">
        <v>0</v>
      </c>
      <c r="AB202" s="578">
        <v>0</v>
      </c>
      <c r="AC202" s="578">
        <v>0</v>
      </c>
      <c r="AD202" s="578">
        <v>0</v>
      </c>
      <c r="AE202" s="578">
        <v>123319.95</v>
      </c>
      <c r="AF202" s="578">
        <v>0</v>
      </c>
      <c r="AG202" s="578">
        <v>85287.21</v>
      </c>
      <c r="AH202" s="578">
        <v>37333.19</v>
      </c>
      <c r="AI202" s="578">
        <v>82241.09</v>
      </c>
      <c r="AJ202" s="578">
        <v>0</v>
      </c>
      <c r="AK202" s="578">
        <v>111592.21</v>
      </c>
      <c r="AL202" s="578">
        <v>1172.8499999999999</v>
      </c>
      <c r="AM202" s="578">
        <v>157.33000000000001</v>
      </c>
      <c r="AN202" s="578">
        <v>0</v>
      </c>
      <c r="AO202" s="578">
        <v>0</v>
      </c>
      <c r="AP202" s="578">
        <v>6777.64</v>
      </c>
      <c r="AQ202" s="578">
        <v>0</v>
      </c>
      <c r="AR202" s="578">
        <v>898.07</v>
      </c>
      <c r="AS202" s="578">
        <v>3601.95</v>
      </c>
      <c r="AT202" s="578">
        <v>18569.169999999998</v>
      </c>
      <c r="AU202" s="578">
        <v>15469</v>
      </c>
      <c r="AV202" s="578">
        <v>3579.22</v>
      </c>
      <c r="AW202" s="578">
        <v>18609.349999999999</v>
      </c>
      <c r="AX202" s="578">
        <v>1606.23</v>
      </c>
      <c r="AY202" s="578">
        <v>0</v>
      </c>
      <c r="AZ202" s="578">
        <v>5808.42</v>
      </c>
      <c r="BA202" s="578">
        <v>4160.9799999999996</v>
      </c>
      <c r="BB202" s="578">
        <v>0</v>
      </c>
      <c r="BC202" s="578">
        <v>20206.169999999998</v>
      </c>
      <c r="BD202" s="578">
        <v>44468.65</v>
      </c>
      <c r="BE202" s="578">
        <v>1161.3900000000001</v>
      </c>
      <c r="BF202" s="578">
        <v>40067.72</v>
      </c>
      <c r="BG202" s="578">
        <v>0</v>
      </c>
      <c r="BH202" s="578">
        <v>0</v>
      </c>
      <c r="BI202" s="578">
        <v>0</v>
      </c>
      <c r="BJ202" s="578">
        <v>0</v>
      </c>
      <c r="BK202" s="578">
        <v>0</v>
      </c>
      <c r="BL202" s="578">
        <v>5086.75</v>
      </c>
      <c r="BM202" s="578">
        <v>0</v>
      </c>
      <c r="BN202" s="578">
        <v>0</v>
      </c>
      <c r="BO202" s="578">
        <v>10000</v>
      </c>
      <c r="BP202" s="578">
        <v>0</v>
      </c>
      <c r="BQ202" s="578">
        <v>7890</v>
      </c>
      <c r="BR202" s="578">
        <v>0</v>
      </c>
      <c r="BS202" s="578">
        <v>0</v>
      </c>
      <c r="BT202" s="578">
        <v>0</v>
      </c>
      <c r="BU202" s="578">
        <v>31434.21</v>
      </c>
      <c r="BV202" s="578">
        <v>18713.599999999999</v>
      </c>
      <c r="BW202" s="578">
        <v>0</v>
      </c>
      <c r="BX202" s="578">
        <v>0</v>
      </c>
      <c r="BY202" s="578">
        <v>0</v>
      </c>
      <c r="BZ202" s="578">
        <v>714665.29</v>
      </c>
      <c r="CA202" s="578">
        <v>626087.79</v>
      </c>
      <c r="CB202" s="578">
        <v>5086.75</v>
      </c>
      <c r="CC202" s="578">
        <v>7890</v>
      </c>
      <c r="CD202" s="578">
        <v>50147.81</v>
      </c>
    </row>
    <row r="203" spans="1:82" hidden="1" x14ac:dyDescent="0.3">
      <c r="A203" s="574" t="s">
        <v>1788</v>
      </c>
      <c r="B203" s="577">
        <v>3307030</v>
      </c>
      <c r="C203" s="574">
        <f>_xlfn.XLOOKUP(B203,'[1]Blade-Export_15-08-2022_sources'!B:B,'[1]Blade-Export_15-08-2022_sources'!F:F,0,FALSE)</f>
        <v>330</v>
      </c>
      <c r="D203" s="574">
        <f>_xlfn.XLOOKUP($B203,'[1]Blade-Export_15-08-2022_sources'!$B:$B,'[1]Blade-Export_15-08-2022_sources'!G:G,0,FALSE)</f>
        <v>7030</v>
      </c>
      <c r="E203" s="574" t="str">
        <f>_xlfn.XLOOKUP($B203,'[1]Blade-Export_15-08-2022_sources'!$B:$B,'[1]Blade-Export_15-08-2022_sources'!H:H,0,FALSE)</f>
        <v>BRAIDWOOD Spec</v>
      </c>
      <c r="F203" s="578">
        <v>377584.95</v>
      </c>
      <c r="G203" s="578">
        <v>0</v>
      </c>
      <c r="H203" s="578">
        <v>8364.24</v>
      </c>
      <c r="I203" s="578">
        <v>1371336.99</v>
      </c>
      <c r="J203" s="578">
        <v>1605.22</v>
      </c>
      <c r="K203" s="578">
        <v>0</v>
      </c>
      <c r="L203" s="578">
        <v>0</v>
      </c>
      <c r="M203" s="578">
        <v>26740</v>
      </c>
      <c r="N203" s="578">
        <v>18971.72</v>
      </c>
      <c r="O203" s="578">
        <v>0</v>
      </c>
      <c r="P203" s="578">
        <v>265721.92</v>
      </c>
      <c r="Q203" s="578">
        <v>343.61</v>
      </c>
      <c r="R203" s="578">
        <v>751668.64</v>
      </c>
      <c r="S203" s="578">
        <v>0</v>
      </c>
      <c r="T203" s="578">
        <v>0</v>
      </c>
      <c r="U203" s="578">
        <v>0</v>
      </c>
      <c r="V203" s="578">
        <v>0</v>
      </c>
      <c r="W203" s="578"/>
      <c r="X203" s="578">
        <v>0</v>
      </c>
      <c r="Y203" s="578">
        <v>0</v>
      </c>
      <c r="Z203" s="578">
        <v>0</v>
      </c>
      <c r="AA203" s="578">
        <v>0</v>
      </c>
      <c r="AB203" s="578">
        <v>30041.72</v>
      </c>
      <c r="AC203" s="578">
        <v>7200</v>
      </c>
      <c r="AD203" s="578">
        <v>1140</v>
      </c>
      <c r="AE203" s="578">
        <v>949477.95</v>
      </c>
      <c r="AF203" s="578">
        <v>0</v>
      </c>
      <c r="AG203" s="578">
        <v>486175.16</v>
      </c>
      <c r="AH203" s="578">
        <v>52695.29</v>
      </c>
      <c r="AI203" s="578">
        <v>224530.94</v>
      </c>
      <c r="AJ203" s="578">
        <v>0</v>
      </c>
      <c r="AK203" s="578">
        <v>15394.45</v>
      </c>
      <c r="AL203" s="578">
        <v>14596.3</v>
      </c>
      <c r="AM203" s="578">
        <v>19321.759999999998</v>
      </c>
      <c r="AN203" s="578">
        <v>0</v>
      </c>
      <c r="AO203" s="578">
        <v>0</v>
      </c>
      <c r="AP203" s="578">
        <v>544225.85</v>
      </c>
      <c r="AQ203" s="578">
        <v>3300</v>
      </c>
      <c r="AR203" s="578">
        <v>17063.849999999999</v>
      </c>
      <c r="AS203" s="578">
        <v>2123.61</v>
      </c>
      <c r="AT203" s="578">
        <v>6415.28</v>
      </c>
      <c r="AU203" s="578">
        <v>0</v>
      </c>
      <c r="AV203" s="578">
        <v>7810.48</v>
      </c>
      <c r="AW203" s="578">
        <v>65268.1</v>
      </c>
      <c r="AX203" s="578">
        <v>24731.37</v>
      </c>
      <c r="AY203" s="578">
        <v>8672.39</v>
      </c>
      <c r="AZ203" s="578">
        <v>60725.72</v>
      </c>
      <c r="BA203" s="578">
        <v>2850</v>
      </c>
      <c r="BB203" s="578">
        <v>0</v>
      </c>
      <c r="BC203" s="578">
        <v>13877.17</v>
      </c>
      <c r="BD203" s="578">
        <v>29183</v>
      </c>
      <c r="BE203" s="578">
        <v>897</v>
      </c>
      <c r="BF203" s="578">
        <v>57243.31</v>
      </c>
      <c r="BG203" s="578">
        <v>0</v>
      </c>
      <c r="BH203" s="578">
        <v>0</v>
      </c>
      <c r="BI203" s="578">
        <v>0</v>
      </c>
      <c r="BJ203" s="578">
        <v>0</v>
      </c>
      <c r="BK203" s="578">
        <v>0</v>
      </c>
      <c r="BL203" s="578">
        <v>7037.5</v>
      </c>
      <c r="BM203" s="578">
        <v>0</v>
      </c>
      <c r="BN203" s="578">
        <v>0</v>
      </c>
      <c r="BO203" s="578">
        <v>10000</v>
      </c>
      <c r="BP203" s="578">
        <v>0</v>
      </c>
      <c r="BQ203" s="578">
        <v>0</v>
      </c>
      <c r="BR203" s="578">
        <v>0</v>
      </c>
      <c r="BS203" s="578">
        <v>0</v>
      </c>
      <c r="BT203" s="578">
        <v>0</v>
      </c>
      <c r="BU203" s="578">
        <v>245775.78</v>
      </c>
      <c r="BV203" s="578">
        <v>15401.74</v>
      </c>
      <c r="BW203" s="578">
        <v>0</v>
      </c>
      <c r="BX203" s="578">
        <v>0</v>
      </c>
      <c r="BY203" s="578">
        <v>0</v>
      </c>
      <c r="BZ203" s="578">
        <v>2474769.8199999998</v>
      </c>
      <c r="CA203" s="578">
        <v>2606578.98</v>
      </c>
      <c r="CB203" s="578">
        <v>7037.5</v>
      </c>
      <c r="CC203" s="578">
        <v>0</v>
      </c>
      <c r="CD203" s="578">
        <v>261177.52</v>
      </c>
    </row>
    <row r="204" spans="1:82" hidden="1" x14ac:dyDescent="0.3">
      <c r="A204" s="574" t="s">
        <v>1789</v>
      </c>
      <c r="B204" s="577">
        <v>3303353</v>
      </c>
      <c r="C204" s="574">
        <f>_xlfn.XLOOKUP(B204,'[1]Blade-Export_15-08-2022_sources'!B:B,'[1]Blade-Export_15-08-2022_sources'!F:F,0,FALSE)</f>
        <v>330</v>
      </c>
      <c r="D204" s="574">
        <f>_xlfn.XLOOKUP($B204,'[1]Blade-Export_15-08-2022_sources'!$B:$B,'[1]Blade-Export_15-08-2022_sources'!G:G,0,FALSE)</f>
        <v>3353</v>
      </c>
      <c r="E204" s="574" t="str">
        <f>_xlfn.XLOOKUP($B204,'[1]Blade-Export_15-08-2022_sources'!$B:$B,'[1]Blade-Export_15-08-2022_sources'!H:H,0,FALSE)</f>
        <v>Bournville Village Primary (formerly Bournville Junior)</v>
      </c>
      <c r="F204" s="578">
        <v>416572.39</v>
      </c>
      <c r="G204" s="578">
        <v>0</v>
      </c>
      <c r="H204" s="578">
        <v>0</v>
      </c>
      <c r="I204" s="578">
        <v>2721394.95</v>
      </c>
      <c r="J204" s="578">
        <v>0</v>
      </c>
      <c r="K204" s="578">
        <v>49786.75</v>
      </c>
      <c r="L204" s="578">
        <v>0</v>
      </c>
      <c r="M204" s="578">
        <v>152570</v>
      </c>
      <c r="N204" s="578">
        <v>3543.75</v>
      </c>
      <c r="O204" s="578">
        <v>0</v>
      </c>
      <c r="P204" s="578">
        <v>178260.52</v>
      </c>
      <c r="Q204" s="578">
        <v>583.20000000000005</v>
      </c>
      <c r="R204" s="578">
        <v>0</v>
      </c>
      <c r="S204" s="578">
        <v>0</v>
      </c>
      <c r="T204" s="578">
        <v>0</v>
      </c>
      <c r="U204" s="578">
        <v>25409.46</v>
      </c>
      <c r="V204" s="578">
        <v>0</v>
      </c>
      <c r="W204" s="578"/>
      <c r="X204" s="578">
        <v>0</v>
      </c>
      <c r="Y204" s="578">
        <v>0</v>
      </c>
      <c r="Z204" s="578">
        <v>0</v>
      </c>
      <c r="AA204" s="578">
        <v>0</v>
      </c>
      <c r="AB204" s="578">
        <v>12573.75</v>
      </c>
      <c r="AC204" s="578">
        <v>21750</v>
      </c>
      <c r="AD204" s="578">
        <v>119170</v>
      </c>
      <c r="AE204" s="578">
        <v>1576004.7</v>
      </c>
      <c r="AF204" s="578">
        <v>0</v>
      </c>
      <c r="AG204" s="578">
        <v>407230.8</v>
      </c>
      <c r="AH204" s="578">
        <v>44140.49</v>
      </c>
      <c r="AI204" s="578">
        <v>205151.03</v>
      </c>
      <c r="AJ204" s="578">
        <v>0</v>
      </c>
      <c r="AK204" s="578">
        <v>82729.97</v>
      </c>
      <c r="AL204" s="578">
        <v>1224.0999999999999</v>
      </c>
      <c r="AM204" s="578">
        <v>9119.31</v>
      </c>
      <c r="AN204" s="578">
        <v>0</v>
      </c>
      <c r="AO204" s="578">
        <v>0</v>
      </c>
      <c r="AP204" s="578">
        <v>118061.5</v>
      </c>
      <c r="AQ204" s="578">
        <v>4153.63</v>
      </c>
      <c r="AR204" s="578">
        <v>66930.28</v>
      </c>
      <c r="AS204" s="578">
        <v>10185.93</v>
      </c>
      <c r="AT204" s="578">
        <v>29119.18</v>
      </c>
      <c r="AU204" s="578">
        <v>7994.04</v>
      </c>
      <c r="AV204" s="578">
        <v>9081.77</v>
      </c>
      <c r="AW204" s="578">
        <v>156162.9</v>
      </c>
      <c r="AX204" s="578">
        <v>0</v>
      </c>
      <c r="AY204" s="578">
        <v>0</v>
      </c>
      <c r="AZ204" s="578">
        <v>16532.349999999999</v>
      </c>
      <c r="BA204" s="578">
        <v>16230</v>
      </c>
      <c r="BB204" s="578">
        <v>0</v>
      </c>
      <c r="BC204" s="578">
        <v>55543.92</v>
      </c>
      <c r="BD204" s="578">
        <v>109198.12</v>
      </c>
      <c r="BE204" s="578">
        <v>16207.72</v>
      </c>
      <c r="BF204" s="578">
        <v>264172.5</v>
      </c>
      <c r="BG204" s="578">
        <v>0</v>
      </c>
      <c r="BH204" s="578">
        <v>0</v>
      </c>
      <c r="BI204" s="578">
        <v>31450.16</v>
      </c>
      <c r="BJ204" s="578">
        <v>0</v>
      </c>
      <c r="BK204" s="578">
        <v>0</v>
      </c>
      <c r="BL204" s="578">
        <v>0</v>
      </c>
      <c r="BM204" s="578">
        <v>0</v>
      </c>
      <c r="BN204" s="578">
        <v>0</v>
      </c>
      <c r="BO204" s="578">
        <v>10000</v>
      </c>
      <c r="BP204" s="578">
        <v>0</v>
      </c>
      <c r="BQ204" s="578">
        <v>0</v>
      </c>
      <c r="BR204" s="578">
        <v>0</v>
      </c>
      <c r="BS204" s="578">
        <v>0</v>
      </c>
      <c r="BT204" s="578">
        <v>0</v>
      </c>
      <c r="BU204" s="578">
        <v>464990.37</v>
      </c>
      <c r="BV204" s="578">
        <v>0</v>
      </c>
      <c r="BW204" s="578">
        <v>0</v>
      </c>
      <c r="BX204" s="578">
        <v>0</v>
      </c>
      <c r="BY204" s="578">
        <v>0</v>
      </c>
      <c r="BZ204" s="578">
        <v>3285042.38</v>
      </c>
      <c r="CA204" s="578">
        <v>3236624.4</v>
      </c>
      <c r="CB204" s="578">
        <v>0</v>
      </c>
      <c r="CC204" s="578">
        <v>0</v>
      </c>
      <c r="CD204" s="578">
        <v>464990.37</v>
      </c>
    </row>
    <row r="205" spans="1:82" hidden="1" x14ac:dyDescent="0.3">
      <c r="A205" s="574" t="s">
        <v>1790</v>
      </c>
      <c r="B205" s="577">
        <v>3302030</v>
      </c>
      <c r="C205" s="574">
        <f>_xlfn.XLOOKUP(B205,'[1]Blade-Export_15-08-2022_sources'!B:B,'[1]Blade-Export_15-08-2022_sources'!F:F,0,FALSE)</f>
        <v>330</v>
      </c>
      <c r="D205" s="574">
        <f>_xlfn.XLOOKUP($B205,'[1]Blade-Export_15-08-2022_sources'!$B:$B,'[1]Blade-Export_15-08-2022_sources'!G:G,0,FALSE)</f>
        <v>2030</v>
      </c>
      <c r="E205" s="574" t="str">
        <f>_xlfn.XLOOKUP($B205,'[1]Blade-Export_15-08-2022_sources'!$B:$B,'[1]Blade-Export_15-08-2022_sources'!H:H,0,FALSE)</f>
        <v>BORDESLEY GREEN JI NC</v>
      </c>
      <c r="F205" s="578">
        <v>265802.82</v>
      </c>
      <c r="G205" s="578">
        <v>0</v>
      </c>
      <c r="H205" s="578">
        <v>-0.25</v>
      </c>
      <c r="I205" s="578">
        <v>3226439.38</v>
      </c>
      <c r="J205" s="578">
        <v>0</v>
      </c>
      <c r="K205" s="578">
        <v>38449.72</v>
      </c>
      <c r="L205" s="578">
        <v>0</v>
      </c>
      <c r="M205" s="578">
        <v>321455</v>
      </c>
      <c r="N205" s="578">
        <v>7560</v>
      </c>
      <c r="O205" s="578">
        <v>0</v>
      </c>
      <c r="P205" s="578">
        <v>21635.83</v>
      </c>
      <c r="Q205" s="578">
        <v>0</v>
      </c>
      <c r="R205" s="578">
        <v>27136.37</v>
      </c>
      <c r="S205" s="578">
        <v>0</v>
      </c>
      <c r="T205" s="578">
        <v>0</v>
      </c>
      <c r="U205" s="578">
        <v>6638</v>
      </c>
      <c r="V205" s="578">
        <v>0</v>
      </c>
      <c r="W205" s="578"/>
      <c r="X205" s="578">
        <v>0</v>
      </c>
      <c r="Y205" s="578">
        <v>0</v>
      </c>
      <c r="Z205" s="578">
        <v>0</v>
      </c>
      <c r="AA205" s="578">
        <v>0</v>
      </c>
      <c r="AB205" s="578">
        <v>24887.5</v>
      </c>
      <c r="AC205" s="578">
        <v>20700</v>
      </c>
      <c r="AD205" s="578">
        <v>89639</v>
      </c>
      <c r="AE205" s="578">
        <v>1785444.72</v>
      </c>
      <c r="AF205" s="578">
        <v>0</v>
      </c>
      <c r="AG205" s="578">
        <v>736032.51</v>
      </c>
      <c r="AH205" s="578">
        <v>127030.75</v>
      </c>
      <c r="AI205" s="578">
        <v>178575.5</v>
      </c>
      <c r="AJ205" s="578">
        <v>71192.37</v>
      </c>
      <c r="AK205" s="578">
        <v>69652.47</v>
      </c>
      <c r="AL205" s="578">
        <v>2127.48</v>
      </c>
      <c r="AM205" s="578">
        <v>6052.07</v>
      </c>
      <c r="AN205" s="578">
        <v>0</v>
      </c>
      <c r="AO205" s="578">
        <v>0</v>
      </c>
      <c r="AP205" s="578">
        <v>25693.64</v>
      </c>
      <c r="AQ205" s="578">
        <v>0</v>
      </c>
      <c r="AR205" s="578">
        <v>7884.03</v>
      </c>
      <c r="AS205" s="578">
        <v>4719.79</v>
      </c>
      <c r="AT205" s="578">
        <v>42051.22</v>
      </c>
      <c r="AU205" s="578">
        <v>32417.279999999999</v>
      </c>
      <c r="AV205" s="578">
        <v>7750.87</v>
      </c>
      <c r="AW205" s="578">
        <v>72182.03</v>
      </c>
      <c r="AX205" s="578">
        <v>108368.14</v>
      </c>
      <c r="AY205" s="578">
        <v>0</v>
      </c>
      <c r="AZ205" s="578">
        <v>21462.37</v>
      </c>
      <c r="BA205" s="578">
        <v>16230</v>
      </c>
      <c r="BB205" s="578">
        <v>0</v>
      </c>
      <c r="BC205" s="578">
        <v>62366.73</v>
      </c>
      <c r="BD205" s="578">
        <v>151725.53</v>
      </c>
      <c r="BE205" s="578">
        <v>50316.38</v>
      </c>
      <c r="BF205" s="578">
        <v>105705.84</v>
      </c>
      <c r="BG205" s="578">
        <v>0</v>
      </c>
      <c r="BH205" s="578">
        <v>414.34</v>
      </c>
      <c r="BI205" s="578">
        <v>12849.6</v>
      </c>
      <c r="BJ205" s="578">
        <v>0</v>
      </c>
      <c r="BK205" s="578">
        <v>0</v>
      </c>
      <c r="BL205" s="578">
        <v>11708.5</v>
      </c>
      <c r="BM205" s="578">
        <v>0</v>
      </c>
      <c r="BN205" s="578">
        <v>0</v>
      </c>
      <c r="BO205" s="578">
        <v>10000</v>
      </c>
      <c r="BP205" s="578">
        <v>0</v>
      </c>
      <c r="BQ205" s="578">
        <v>0</v>
      </c>
      <c r="BR205" s="578">
        <v>0</v>
      </c>
      <c r="BS205" s="578">
        <v>0</v>
      </c>
      <c r="BT205" s="578">
        <v>0</v>
      </c>
      <c r="BU205" s="578">
        <v>352097.96</v>
      </c>
      <c r="BV205" s="578">
        <v>11708.25</v>
      </c>
      <c r="BW205" s="578">
        <v>0</v>
      </c>
      <c r="BX205" s="578">
        <v>0</v>
      </c>
      <c r="BY205" s="578">
        <v>0</v>
      </c>
      <c r="BZ205" s="578">
        <v>3784540.8</v>
      </c>
      <c r="CA205" s="578">
        <v>3698245.66</v>
      </c>
      <c r="CB205" s="578">
        <v>11708.5</v>
      </c>
      <c r="CC205" s="578">
        <v>0</v>
      </c>
      <c r="CD205" s="578">
        <v>363806.21</v>
      </c>
    </row>
    <row r="206" spans="1:82" hidden="1" x14ac:dyDescent="0.3">
      <c r="A206" s="574" t="s">
        <v>1791</v>
      </c>
      <c r="B206" s="577">
        <v>3304115</v>
      </c>
      <c r="C206" s="574">
        <f>_xlfn.XLOOKUP(B206,'[1]Blade-Export_15-08-2022_sources'!B:B,'[1]Blade-Export_15-08-2022_sources'!F:F,0,FALSE)</f>
        <v>330</v>
      </c>
      <c r="D206" s="574">
        <f>_xlfn.XLOOKUP($B206,'[1]Blade-Export_15-08-2022_sources'!$B:$B,'[1]Blade-Export_15-08-2022_sources'!G:G,0,FALSE)</f>
        <v>4115</v>
      </c>
      <c r="E206" s="574" t="str">
        <f>_xlfn.XLOOKUP($B206,'[1]Blade-Export_15-08-2022_sources'!$B:$B,'[1]Blade-Export_15-08-2022_sources'!H:H,0,FALSE)</f>
        <v xml:space="preserve">BORDESLEY GREEN GIRLS Sec (16+) </v>
      </c>
      <c r="F206" s="578">
        <v>1733220.89</v>
      </c>
      <c r="G206" s="578">
        <v>0</v>
      </c>
      <c r="H206" s="578">
        <v>0.05</v>
      </c>
      <c r="I206" s="578">
        <v>4743533.59</v>
      </c>
      <c r="J206" s="578">
        <v>2060502.94</v>
      </c>
      <c r="K206" s="578">
        <v>276023.90000000002</v>
      </c>
      <c r="L206" s="578">
        <v>0</v>
      </c>
      <c r="M206" s="578">
        <v>323906.87</v>
      </c>
      <c r="N206" s="578">
        <v>24221.95</v>
      </c>
      <c r="O206" s="578">
        <v>0</v>
      </c>
      <c r="P206" s="578">
        <v>83174.759999999995</v>
      </c>
      <c r="Q206" s="578">
        <v>0</v>
      </c>
      <c r="R206" s="578">
        <v>82898.63</v>
      </c>
      <c r="S206" s="578">
        <v>0</v>
      </c>
      <c r="T206" s="578">
        <v>0</v>
      </c>
      <c r="U206" s="578">
        <v>20714</v>
      </c>
      <c r="V206" s="578">
        <v>0</v>
      </c>
      <c r="W206" s="578"/>
      <c r="X206" s="578">
        <v>0</v>
      </c>
      <c r="Y206" s="578">
        <v>0</v>
      </c>
      <c r="Z206" s="578">
        <v>0</v>
      </c>
      <c r="AA206" s="578">
        <v>0</v>
      </c>
      <c r="AB206" s="578">
        <v>61162.13</v>
      </c>
      <c r="AC206" s="578">
        <v>22200</v>
      </c>
      <c r="AD206" s="578">
        <v>9990</v>
      </c>
      <c r="AE206" s="578">
        <v>3886703.76</v>
      </c>
      <c r="AF206" s="578">
        <v>0</v>
      </c>
      <c r="AG206" s="578">
        <v>733889.49</v>
      </c>
      <c r="AH206" s="578">
        <v>140055.75</v>
      </c>
      <c r="AI206" s="578">
        <v>694821.77</v>
      </c>
      <c r="AJ206" s="578">
        <v>0</v>
      </c>
      <c r="AK206" s="578">
        <v>77697.460000000006</v>
      </c>
      <c r="AL206" s="578">
        <v>43642.64</v>
      </c>
      <c r="AM206" s="578">
        <v>11874.15</v>
      </c>
      <c r="AN206" s="578">
        <v>0</v>
      </c>
      <c r="AO206" s="578">
        <v>0</v>
      </c>
      <c r="AP206" s="578">
        <v>100970.65</v>
      </c>
      <c r="AQ206" s="578">
        <v>5012</v>
      </c>
      <c r="AR206" s="578">
        <v>160818.01</v>
      </c>
      <c r="AS206" s="578">
        <v>7540.6</v>
      </c>
      <c r="AT206" s="578">
        <v>119651.39</v>
      </c>
      <c r="AU206" s="578">
        <v>110115.84</v>
      </c>
      <c r="AV206" s="578">
        <v>23871.200000000001</v>
      </c>
      <c r="AW206" s="578">
        <v>369458.81</v>
      </c>
      <c r="AX206" s="578">
        <v>43482.84</v>
      </c>
      <c r="AY206" s="578">
        <v>106071.65</v>
      </c>
      <c r="AZ206" s="578">
        <v>59415.06</v>
      </c>
      <c r="BA206" s="578">
        <v>16880</v>
      </c>
      <c r="BB206" s="578">
        <v>0</v>
      </c>
      <c r="BC206" s="578">
        <v>240266.03</v>
      </c>
      <c r="BD206" s="578">
        <v>235908.8</v>
      </c>
      <c r="BE206" s="578">
        <v>0</v>
      </c>
      <c r="BF206" s="578">
        <v>135136.44</v>
      </c>
      <c r="BG206" s="578">
        <v>0</v>
      </c>
      <c r="BH206" s="578">
        <v>853.66</v>
      </c>
      <c r="BI206" s="578">
        <v>91882.94</v>
      </c>
      <c r="BJ206" s="578">
        <v>0</v>
      </c>
      <c r="BK206" s="578">
        <v>0</v>
      </c>
      <c r="BL206" s="578">
        <v>22776.25</v>
      </c>
      <c r="BM206" s="578">
        <v>0</v>
      </c>
      <c r="BN206" s="578">
        <v>0</v>
      </c>
      <c r="BO206" s="578">
        <v>10000</v>
      </c>
      <c r="BP206" s="578">
        <v>0</v>
      </c>
      <c r="BQ206" s="578">
        <v>0</v>
      </c>
      <c r="BR206" s="578">
        <v>0</v>
      </c>
      <c r="BS206" s="578">
        <v>0</v>
      </c>
      <c r="BT206" s="578">
        <v>0</v>
      </c>
      <c r="BU206" s="578">
        <v>2025528.72</v>
      </c>
      <c r="BV206" s="578">
        <v>22776.3</v>
      </c>
      <c r="BW206" s="578">
        <v>0</v>
      </c>
      <c r="BX206" s="578">
        <v>0</v>
      </c>
      <c r="BY206" s="578">
        <v>0</v>
      </c>
      <c r="BZ206" s="578">
        <v>7708328.7699999996</v>
      </c>
      <c r="CA206" s="578">
        <v>7416020.9400000004</v>
      </c>
      <c r="CB206" s="578">
        <v>22776.25</v>
      </c>
      <c r="CC206" s="578">
        <v>0</v>
      </c>
      <c r="CD206" s="578">
        <v>2048305.02</v>
      </c>
    </row>
    <row r="207" spans="1:82" hidden="1" x14ac:dyDescent="0.3">
      <c r="A207" s="574" t="s">
        <v>1792</v>
      </c>
      <c r="B207" s="577">
        <v>3301001</v>
      </c>
      <c r="C207" s="574">
        <f>_xlfn.XLOOKUP(B207,'[1]Blade-Export_15-08-2022_sources'!B:B,'[1]Blade-Export_15-08-2022_sources'!F:F,0,FALSE)</f>
        <v>330</v>
      </c>
      <c r="D207" s="574">
        <f>_xlfn.XLOOKUP($B207,'[1]Blade-Export_15-08-2022_sources'!$B:$B,'[1]Blade-Export_15-08-2022_sources'!G:G,0,FALSE)</f>
        <v>1001</v>
      </c>
      <c r="E207" s="574" t="str">
        <f>_xlfn.XLOOKUP($B207,'[1]Blade-Export_15-08-2022_sources'!$B:$B,'[1]Blade-Export_15-08-2022_sources'!H:H,0,FALSE)</f>
        <v>BORDESLEY GREEN Nurs</v>
      </c>
      <c r="F207" s="578">
        <v>18478.669999999998</v>
      </c>
      <c r="G207" s="578">
        <v>0</v>
      </c>
      <c r="H207" s="578">
        <v>17035.23</v>
      </c>
      <c r="I207" s="578">
        <v>405864.67</v>
      </c>
      <c r="J207" s="578">
        <v>0</v>
      </c>
      <c r="K207" s="578">
        <v>0</v>
      </c>
      <c r="L207" s="578">
        <v>0</v>
      </c>
      <c r="M207" s="578">
        <v>0</v>
      </c>
      <c r="N207" s="578">
        <v>0</v>
      </c>
      <c r="O207" s="578">
        <v>0</v>
      </c>
      <c r="P207" s="578">
        <v>0</v>
      </c>
      <c r="Q207" s="578">
        <v>0</v>
      </c>
      <c r="R207" s="578">
        <v>1530.21</v>
      </c>
      <c r="S207" s="578">
        <v>0</v>
      </c>
      <c r="T207" s="578">
        <v>0</v>
      </c>
      <c r="U207" s="578">
        <v>10577.48</v>
      </c>
      <c r="V207" s="578">
        <v>0</v>
      </c>
      <c r="W207" s="578"/>
      <c r="X207" s="578">
        <v>0</v>
      </c>
      <c r="Y207" s="578">
        <v>0</v>
      </c>
      <c r="Z207" s="578">
        <v>0</v>
      </c>
      <c r="AA207" s="578">
        <v>0</v>
      </c>
      <c r="AB207" s="578">
        <v>0</v>
      </c>
      <c r="AC207" s="578">
        <v>0</v>
      </c>
      <c r="AD207" s="578">
        <v>0</v>
      </c>
      <c r="AE207" s="578">
        <v>121275.83</v>
      </c>
      <c r="AF207" s="578">
        <v>2159.19</v>
      </c>
      <c r="AG207" s="578">
        <v>95390.14</v>
      </c>
      <c r="AH207" s="578">
        <v>16190.01</v>
      </c>
      <c r="AI207" s="578">
        <v>91062.64</v>
      </c>
      <c r="AJ207" s="578">
        <v>0</v>
      </c>
      <c r="AK207" s="578">
        <v>21335.42</v>
      </c>
      <c r="AL207" s="578">
        <v>802</v>
      </c>
      <c r="AM207" s="578">
        <v>2310</v>
      </c>
      <c r="AN207" s="578">
        <v>0</v>
      </c>
      <c r="AO207" s="578">
        <v>0</v>
      </c>
      <c r="AP207" s="578">
        <v>3665.42</v>
      </c>
      <c r="AQ207" s="578">
        <v>0</v>
      </c>
      <c r="AR207" s="578">
        <v>1369.98</v>
      </c>
      <c r="AS207" s="578">
        <v>0</v>
      </c>
      <c r="AT207" s="578">
        <v>6377.28</v>
      </c>
      <c r="AU207" s="578">
        <v>5239.5</v>
      </c>
      <c r="AV207" s="578">
        <v>7903.66</v>
      </c>
      <c r="AW207" s="578">
        <v>11905.95</v>
      </c>
      <c r="AX207" s="578">
        <v>1404.19</v>
      </c>
      <c r="AY207" s="578">
        <v>0</v>
      </c>
      <c r="AZ207" s="578">
        <v>14232.19</v>
      </c>
      <c r="BA207" s="578">
        <v>2850</v>
      </c>
      <c r="BB207" s="578">
        <v>0</v>
      </c>
      <c r="BC207" s="578">
        <v>1872.1</v>
      </c>
      <c r="BD207" s="578">
        <v>13354.85</v>
      </c>
      <c r="BE207" s="578">
        <v>995</v>
      </c>
      <c r="BF207" s="578">
        <v>31198.45</v>
      </c>
      <c r="BG207" s="578">
        <v>0</v>
      </c>
      <c r="BH207" s="578">
        <v>0</v>
      </c>
      <c r="BI207" s="578">
        <v>0</v>
      </c>
      <c r="BJ207" s="578">
        <v>0</v>
      </c>
      <c r="BK207" s="578">
        <v>0</v>
      </c>
      <c r="BL207" s="578">
        <v>4769.5</v>
      </c>
      <c r="BM207" s="578">
        <v>0</v>
      </c>
      <c r="BN207" s="578">
        <v>0</v>
      </c>
      <c r="BO207" s="578">
        <v>10000</v>
      </c>
      <c r="BP207" s="578">
        <v>0</v>
      </c>
      <c r="BQ207" s="578">
        <v>0</v>
      </c>
      <c r="BR207" s="578">
        <v>0</v>
      </c>
      <c r="BS207" s="578">
        <v>0</v>
      </c>
      <c r="BT207" s="578">
        <v>0</v>
      </c>
      <c r="BU207" s="578">
        <v>-16442.77</v>
      </c>
      <c r="BV207" s="578">
        <v>21804.73</v>
      </c>
      <c r="BW207" s="578">
        <v>0</v>
      </c>
      <c r="BX207" s="578">
        <v>0</v>
      </c>
      <c r="BY207" s="578">
        <v>0</v>
      </c>
      <c r="BZ207" s="578">
        <v>417972.36</v>
      </c>
      <c r="CA207" s="578">
        <v>452893.8</v>
      </c>
      <c r="CB207" s="578">
        <v>4769.5</v>
      </c>
      <c r="CC207" s="578">
        <v>0</v>
      </c>
      <c r="CD207" s="578">
        <v>5361.96</v>
      </c>
    </row>
    <row r="208" spans="1:82" hidden="1" x14ac:dyDescent="0.3">
      <c r="A208" s="574" t="s">
        <v>1793</v>
      </c>
      <c r="B208" s="577">
        <v>3302401</v>
      </c>
      <c r="C208" s="574">
        <f>_xlfn.XLOOKUP(B208,'[1]Blade-Export_15-08-2022_sources'!B:B,'[1]Blade-Export_15-08-2022_sources'!F:F,0,FALSE)</f>
        <v>330</v>
      </c>
      <c r="D208" s="574">
        <f>_xlfn.XLOOKUP($B208,'[1]Blade-Export_15-08-2022_sources'!$B:$B,'[1]Blade-Export_15-08-2022_sources'!G:G,0,FALSE)</f>
        <v>2401</v>
      </c>
      <c r="E208" s="574" t="str">
        <f>_xlfn.XLOOKUP($B208,'[1]Blade-Export_15-08-2022_sources'!$B:$B,'[1]Blade-Export_15-08-2022_sources'!H:H,0,FALSE)</f>
        <v xml:space="preserve">BOLDMERE J </v>
      </c>
      <c r="F208" s="578">
        <v>209982.75</v>
      </c>
      <c r="G208" s="578">
        <v>0</v>
      </c>
      <c r="H208" s="578">
        <v>35548</v>
      </c>
      <c r="I208" s="578">
        <v>1545985.19</v>
      </c>
      <c r="J208" s="578">
        <v>0</v>
      </c>
      <c r="K208" s="578">
        <v>18779.55</v>
      </c>
      <c r="L208" s="578">
        <v>0</v>
      </c>
      <c r="M208" s="578">
        <v>77215</v>
      </c>
      <c r="N208" s="578">
        <v>1830.94</v>
      </c>
      <c r="O208" s="578">
        <v>0</v>
      </c>
      <c r="P208" s="578">
        <v>219372.06</v>
      </c>
      <c r="Q208" s="578">
        <v>0</v>
      </c>
      <c r="R208" s="578">
        <v>100</v>
      </c>
      <c r="S208" s="578">
        <v>0</v>
      </c>
      <c r="T208" s="578">
        <v>0</v>
      </c>
      <c r="U208" s="578">
        <v>42021.58</v>
      </c>
      <c r="V208" s="578">
        <v>0</v>
      </c>
      <c r="W208" s="578"/>
      <c r="X208" s="578">
        <v>0</v>
      </c>
      <c r="Y208" s="578">
        <v>0</v>
      </c>
      <c r="Z208" s="578">
        <v>0</v>
      </c>
      <c r="AA208" s="578">
        <v>0</v>
      </c>
      <c r="AB208" s="578">
        <v>6728.44</v>
      </c>
      <c r="AC208" s="578">
        <v>12230</v>
      </c>
      <c r="AD208" s="578">
        <v>19661</v>
      </c>
      <c r="AE208" s="578">
        <v>995539.94</v>
      </c>
      <c r="AF208" s="578">
        <v>0</v>
      </c>
      <c r="AG208" s="578">
        <v>203761.51</v>
      </c>
      <c r="AH208" s="578">
        <v>26481.83</v>
      </c>
      <c r="AI208" s="578">
        <v>125303.85</v>
      </c>
      <c r="AJ208" s="578">
        <v>0</v>
      </c>
      <c r="AK208" s="578">
        <v>199898.54</v>
      </c>
      <c r="AL208" s="578">
        <v>2169.3000000000002</v>
      </c>
      <c r="AM208" s="578">
        <v>4965.2</v>
      </c>
      <c r="AN208" s="578">
        <v>0</v>
      </c>
      <c r="AO208" s="578">
        <v>0</v>
      </c>
      <c r="AP208" s="578">
        <v>32574.45</v>
      </c>
      <c r="AQ208" s="578">
        <v>0</v>
      </c>
      <c r="AR208" s="578">
        <v>44187.19</v>
      </c>
      <c r="AS208" s="578">
        <v>5160.95</v>
      </c>
      <c r="AT208" s="578">
        <v>44427.98</v>
      </c>
      <c r="AU208" s="578">
        <v>20435.919999999998</v>
      </c>
      <c r="AV208" s="578">
        <v>6325.26</v>
      </c>
      <c r="AW208" s="578">
        <v>97749.54</v>
      </c>
      <c r="AX208" s="578">
        <v>2933.38</v>
      </c>
      <c r="AY208" s="578">
        <v>0</v>
      </c>
      <c r="AZ208" s="578">
        <v>33215.74</v>
      </c>
      <c r="BA208" s="578">
        <v>8200</v>
      </c>
      <c r="BB208" s="578">
        <v>0</v>
      </c>
      <c r="BC208" s="578">
        <v>20007.490000000002</v>
      </c>
      <c r="BD208" s="578">
        <v>52363.3</v>
      </c>
      <c r="BE208" s="578">
        <v>0</v>
      </c>
      <c r="BF208" s="578">
        <v>90960.97</v>
      </c>
      <c r="BG208" s="578">
        <v>0</v>
      </c>
      <c r="BH208" s="578">
        <v>196.63</v>
      </c>
      <c r="BI208" s="578">
        <v>0</v>
      </c>
      <c r="BJ208" s="578">
        <v>0</v>
      </c>
      <c r="BK208" s="578">
        <v>0</v>
      </c>
      <c r="BL208" s="578">
        <v>8111.88</v>
      </c>
      <c r="BM208" s="578">
        <v>0</v>
      </c>
      <c r="BN208" s="578">
        <v>0</v>
      </c>
      <c r="BO208" s="578">
        <v>10000</v>
      </c>
      <c r="BP208" s="578">
        <v>0</v>
      </c>
      <c r="BQ208" s="578">
        <v>0</v>
      </c>
      <c r="BR208" s="578">
        <v>0</v>
      </c>
      <c r="BS208" s="578">
        <v>0</v>
      </c>
      <c r="BT208" s="578">
        <v>0</v>
      </c>
      <c r="BU208" s="578">
        <v>137047.54</v>
      </c>
      <c r="BV208" s="578">
        <v>43659.88</v>
      </c>
      <c r="BW208" s="578">
        <v>0</v>
      </c>
      <c r="BX208" s="578">
        <v>0</v>
      </c>
      <c r="BY208" s="578">
        <v>0</v>
      </c>
      <c r="BZ208" s="578">
        <v>1943923.76</v>
      </c>
      <c r="CA208" s="578">
        <v>2016858.97</v>
      </c>
      <c r="CB208" s="578">
        <v>8111.88</v>
      </c>
      <c r="CC208" s="578">
        <v>0</v>
      </c>
      <c r="CD208" s="578">
        <v>180707.42</v>
      </c>
    </row>
    <row r="209" spans="1:82" hidden="1" x14ac:dyDescent="0.3">
      <c r="A209" s="574" t="s">
        <v>1794</v>
      </c>
      <c r="B209" s="577">
        <v>3302402</v>
      </c>
      <c r="C209" s="574">
        <f>_xlfn.XLOOKUP(B209,'[1]Blade-Export_15-08-2022_sources'!B:B,'[1]Blade-Export_15-08-2022_sources'!F:F,0,FALSE)</f>
        <v>330</v>
      </c>
      <c r="D209" s="574">
        <f>_xlfn.XLOOKUP($B209,'[1]Blade-Export_15-08-2022_sources'!$B:$B,'[1]Blade-Export_15-08-2022_sources'!G:G,0,FALSE)</f>
        <v>2402</v>
      </c>
      <c r="E209" s="574" t="str">
        <f>_xlfn.XLOOKUP($B209,'[1]Blade-Export_15-08-2022_sources'!$B:$B,'[1]Blade-Export_15-08-2022_sources'!H:H,0,FALSE)</f>
        <v>BOLDMERE I NC</v>
      </c>
      <c r="F209" s="578">
        <v>340235.86</v>
      </c>
      <c r="G209" s="578">
        <v>0</v>
      </c>
      <c r="H209" s="578">
        <v>10093.370000000001</v>
      </c>
      <c r="I209" s="578">
        <v>1486269.61</v>
      </c>
      <c r="J209" s="578">
        <v>0</v>
      </c>
      <c r="K209" s="578">
        <v>150646.62</v>
      </c>
      <c r="L209" s="578">
        <v>0</v>
      </c>
      <c r="M209" s="578">
        <v>57075</v>
      </c>
      <c r="N209" s="578">
        <v>1004.06</v>
      </c>
      <c r="O209" s="578">
        <v>0</v>
      </c>
      <c r="P209" s="578">
        <v>113650.53</v>
      </c>
      <c r="Q209" s="578">
        <v>0</v>
      </c>
      <c r="R209" s="578">
        <v>2673.27</v>
      </c>
      <c r="S209" s="578">
        <v>0</v>
      </c>
      <c r="T209" s="578">
        <v>0</v>
      </c>
      <c r="U209" s="578">
        <v>6832.01</v>
      </c>
      <c r="V209" s="578">
        <v>0</v>
      </c>
      <c r="W209" s="578"/>
      <c r="X209" s="578">
        <v>0</v>
      </c>
      <c r="Y209" s="578">
        <v>0</v>
      </c>
      <c r="Z209" s="578">
        <v>0</v>
      </c>
      <c r="AA209" s="578">
        <v>0</v>
      </c>
      <c r="AB209" s="578">
        <v>3831.56</v>
      </c>
      <c r="AC209" s="578">
        <v>10060</v>
      </c>
      <c r="AD209" s="578">
        <v>120678</v>
      </c>
      <c r="AE209" s="578">
        <v>927162.13</v>
      </c>
      <c r="AF209" s="578">
        <v>1055</v>
      </c>
      <c r="AG209" s="578">
        <v>409384.01</v>
      </c>
      <c r="AH209" s="578">
        <v>18452.36</v>
      </c>
      <c r="AI209" s="578">
        <v>69271.19</v>
      </c>
      <c r="AJ209" s="578">
        <v>0</v>
      </c>
      <c r="AK209" s="578">
        <v>32952.379999999997</v>
      </c>
      <c r="AL209" s="578">
        <v>0</v>
      </c>
      <c r="AM209" s="578">
        <v>4694.38</v>
      </c>
      <c r="AN209" s="578">
        <v>0</v>
      </c>
      <c r="AO209" s="578">
        <v>0</v>
      </c>
      <c r="AP209" s="578">
        <v>30719.27</v>
      </c>
      <c r="AQ209" s="578">
        <v>775.94</v>
      </c>
      <c r="AR209" s="578">
        <v>33774.89</v>
      </c>
      <c r="AS209" s="578">
        <v>5054.7700000000004</v>
      </c>
      <c r="AT209" s="578">
        <v>17626.62</v>
      </c>
      <c r="AU209" s="578">
        <v>17552.330000000002</v>
      </c>
      <c r="AV209" s="578">
        <v>6005.74</v>
      </c>
      <c r="AW209" s="578">
        <v>125021.99</v>
      </c>
      <c r="AX209" s="578">
        <v>7700</v>
      </c>
      <c r="AY209" s="578">
        <v>0</v>
      </c>
      <c r="AZ209" s="578">
        <v>87752.47</v>
      </c>
      <c r="BA209" s="578">
        <v>4450</v>
      </c>
      <c r="BB209" s="578">
        <v>0</v>
      </c>
      <c r="BC209" s="578">
        <v>88714.27</v>
      </c>
      <c r="BD209" s="578">
        <v>0</v>
      </c>
      <c r="BE209" s="578">
        <v>28187.83</v>
      </c>
      <c r="BF209" s="578">
        <v>101282.73</v>
      </c>
      <c r="BG209" s="578">
        <v>0</v>
      </c>
      <c r="BH209" s="578">
        <v>182.04</v>
      </c>
      <c r="BI209" s="578">
        <v>0</v>
      </c>
      <c r="BJ209" s="578">
        <v>0</v>
      </c>
      <c r="BK209" s="578">
        <v>0</v>
      </c>
      <c r="BL209" s="578">
        <v>7478.5</v>
      </c>
      <c r="BM209" s="578">
        <v>0</v>
      </c>
      <c r="BN209" s="578">
        <v>0</v>
      </c>
      <c r="BO209" s="578">
        <v>10000</v>
      </c>
      <c r="BP209" s="578">
        <v>0</v>
      </c>
      <c r="BQ209" s="578">
        <v>0</v>
      </c>
      <c r="BR209" s="578">
        <v>0</v>
      </c>
      <c r="BS209" s="578">
        <v>0</v>
      </c>
      <c r="BT209" s="578">
        <v>0</v>
      </c>
      <c r="BU209" s="578">
        <v>275184.18</v>
      </c>
      <c r="BV209" s="578">
        <v>17571.87</v>
      </c>
      <c r="BW209" s="578">
        <v>0</v>
      </c>
      <c r="BX209" s="578">
        <v>0</v>
      </c>
      <c r="BY209" s="578">
        <v>0</v>
      </c>
      <c r="BZ209" s="578">
        <v>1952720.66</v>
      </c>
      <c r="CA209" s="578">
        <v>2017772.34</v>
      </c>
      <c r="CB209" s="578">
        <v>7478.5</v>
      </c>
      <c r="CC209" s="578">
        <v>0</v>
      </c>
      <c r="CD209" s="578">
        <v>292756.05</v>
      </c>
    </row>
    <row r="210" spans="1:82" hidden="1" x14ac:dyDescent="0.3">
      <c r="A210" s="574" t="s">
        <v>1795</v>
      </c>
      <c r="B210" s="577">
        <v>3301025</v>
      </c>
      <c r="C210" s="574">
        <f>_xlfn.XLOOKUP(B210,'[1]Blade-Export_15-08-2022_sources'!B:B,'[1]Blade-Export_15-08-2022_sources'!F:F,0,FALSE)</f>
        <v>330</v>
      </c>
      <c r="D210" s="574">
        <f>_xlfn.XLOOKUP($B210,'[1]Blade-Export_15-08-2022_sources'!$B:$B,'[1]Blade-Export_15-08-2022_sources'!G:G,0,FALSE)</f>
        <v>1025</v>
      </c>
      <c r="E210" s="574" t="str">
        <f>_xlfn.XLOOKUP($B210,'[1]Blade-Export_15-08-2022_sources'!$B:$B,'[1]Blade-Export_15-08-2022_sources'!H:H,0,FALSE)</f>
        <v>BLOOMSBURY Nurs</v>
      </c>
      <c r="F210" s="578">
        <v>95479.13</v>
      </c>
      <c r="G210" s="578">
        <v>0</v>
      </c>
      <c r="H210" s="578">
        <v>30.58</v>
      </c>
      <c r="I210" s="578">
        <v>568531.26</v>
      </c>
      <c r="J210" s="578">
        <v>0</v>
      </c>
      <c r="K210" s="578">
        <v>39729.919999999998</v>
      </c>
      <c r="L210" s="578">
        <v>0</v>
      </c>
      <c r="M210" s="578">
        <v>0</v>
      </c>
      <c r="N210" s="578">
        <v>0</v>
      </c>
      <c r="O210" s="578">
        <v>0</v>
      </c>
      <c r="P210" s="578">
        <v>146073.46</v>
      </c>
      <c r="Q210" s="578">
        <v>133.66999999999999</v>
      </c>
      <c r="R210" s="578">
        <v>0</v>
      </c>
      <c r="S210" s="578">
        <v>0</v>
      </c>
      <c r="T210" s="578">
        <v>0</v>
      </c>
      <c r="U210" s="578">
        <v>12681</v>
      </c>
      <c r="V210" s="578">
        <v>0</v>
      </c>
      <c r="W210" s="578"/>
      <c r="X210" s="578">
        <v>0</v>
      </c>
      <c r="Y210" s="578">
        <v>0</v>
      </c>
      <c r="Z210" s="578">
        <v>0</v>
      </c>
      <c r="AA210" s="578">
        <v>0</v>
      </c>
      <c r="AB210" s="578">
        <v>0</v>
      </c>
      <c r="AC210" s="578">
        <v>0</v>
      </c>
      <c r="AD210" s="578">
        <v>0</v>
      </c>
      <c r="AE210" s="578">
        <v>217646.38</v>
      </c>
      <c r="AF210" s="578">
        <v>135.9</v>
      </c>
      <c r="AG210" s="578">
        <v>114421.39</v>
      </c>
      <c r="AH210" s="578">
        <v>13210.63</v>
      </c>
      <c r="AI210" s="578">
        <v>229318.26</v>
      </c>
      <c r="AJ210" s="578">
        <v>20129.330000000002</v>
      </c>
      <c r="AK210" s="578">
        <v>0</v>
      </c>
      <c r="AL210" s="578">
        <v>4330.8999999999996</v>
      </c>
      <c r="AM210" s="578">
        <v>1616.33</v>
      </c>
      <c r="AN210" s="578">
        <v>0</v>
      </c>
      <c r="AO210" s="578">
        <v>0</v>
      </c>
      <c r="AP210" s="578">
        <v>17948.8</v>
      </c>
      <c r="AQ210" s="578">
        <v>2246</v>
      </c>
      <c r="AR210" s="578">
        <v>18008.68</v>
      </c>
      <c r="AS210" s="578">
        <v>1794.94</v>
      </c>
      <c r="AT210" s="578">
        <v>10165.9</v>
      </c>
      <c r="AU210" s="578">
        <v>13098.75</v>
      </c>
      <c r="AV210" s="578">
        <v>3621.71</v>
      </c>
      <c r="AW210" s="578">
        <v>9440.82</v>
      </c>
      <c r="AX210" s="578">
        <v>11224.87</v>
      </c>
      <c r="AY210" s="578">
        <v>0</v>
      </c>
      <c r="AZ210" s="578">
        <v>10391.15</v>
      </c>
      <c r="BA210" s="578">
        <v>2850</v>
      </c>
      <c r="BB210" s="578">
        <v>0</v>
      </c>
      <c r="BC210" s="578">
        <v>95.07</v>
      </c>
      <c r="BD210" s="578">
        <v>0</v>
      </c>
      <c r="BE210" s="578">
        <v>139.05000000000001</v>
      </c>
      <c r="BF210" s="578">
        <v>28566.49</v>
      </c>
      <c r="BG210" s="578">
        <v>0</v>
      </c>
      <c r="BH210" s="578">
        <v>0</v>
      </c>
      <c r="BI210" s="578">
        <v>0</v>
      </c>
      <c r="BJ210" s="578">
        <v>0</v>
      </c>
      <c r="BK210" s="578">
        <v>0</v>
      </c>
      <c r="BL210" s="578">
        <v>5029.38</v>
      </c>
      <c r="BM210" s="578">
        <v>0</v>
      </c>
      <c r="BN210" s="578">
        <v>0</v>
      </c>
      <c r="BO210" s="578">
        <v>10000</v>
      </c>
      <c r="BP210" s="578">
        <v>0</v>
      </c>
      <c r="BQ210" s="578">
        <v>0</v>
      </c>
      <c r="BR210" s="578">
        <v>0</v>
      </c>
      <c r="BS210" s="578">
        <v>0</v>
      </c>
      <c r="BT210" s="578">
        <v>0</v>
      </c>
      <c r="BU210" s="578">
        <v>132227.09</v>
      </c>
      <c r="BV210" s="578">
        <v>5059.96</v>
      </c>
      <c r="BW210" s="578">
        <v>0</v>
      </c>
      <c r="BX210" s="578">
        <v>0</v>
      </c>
      <c r="BY210" s="578">
        <v>0</v>
      </c>
      <c r="BZ210" s="578">
        <v>767149.31</v>
      </c>
      <c r="CA210" s="578">
        <v>730401.35</v>
      </c>
      <c r="CB210" s="578">
        <v>5029.38</v>
      </c>
      <c r="CC210" s="578">
        <v>0</v>
      </c>
      <c r="CD210" s="578">
        <v>137287.04999999999</v>
      </c>
    </row>
    <row r="211" spans="1:82" hidden="1" x14ac:dyDescent="0.3">
      <c r="A211" s="574" t="s">
        <v>1796</v>
      </c>
      <c r="B211" s="577">
        <v>3302254</v>
      </c>
      <c r="C211" s="574">
        <f>_xlfn.XLOOKUP(B211,'[1]Blade-Export_15-08-2022_sources'!B:B,'[1]Blade-Export_15-08-2022_sources'!F:F,0,FALSE)</f>
        <v>330</v>
      </c>
      <c r="D211" s="574">
        <f>_xlfn.XLOOKUP($B211,'[1]Blade-Export_15-08-2022_sources'!$B:$B,'[1]Blade-Export_15-08-2022_sources'!G:G,0,FALSE)</f>
        <v>2254</v>
      </c>
      <c r="E211" s="574" t="str">
        <f>_xlfn.XLOOKUP($B211,'[1]Blade-Export_15-08-2022_sources'!$B:$B,'[1]Blade-Export_15-08-2022_sources'!H:H,0,FALSE)</f>
        <v xml:space="preserve">BLAKESLEY HALL JI </v>
      </c>
      <c r="F211" s="578">
        <v>99620.35</v>
      </c>
      <c r="G211" s="578">
        <v>0</v>
      </c>
      <c r="H211" s="578">
        <v>0</v>
      </c>
      <c r="I211" s="578">
        <v>2905421.2</v>
      </c>
      <c r="J211" s="578">
        <v>0</v>
      </c>
      <c r="K211" s="578">
        <v>72702.86</v>
      </c>
      <c r="L211" s="578">
        <v>0</v>
      </c>
      <c r="M211" s="578">
        <v>314730</v>
      </c>
      <c r="N211" s="578">
        <v>7619.06</v>
      </c>
      <c r="O211" s="578">
        <v>0</v>
      </c>
      <c r="P211" s="578">
        <v>108653.39</v>
      </c>
      <c r="Q211" s="578">
        <v>0</v>
      </c>
      <c r="R211" s="578">
        <v>14586.64</v>
      </c>
      <c r="S211" s="578">
        <v>0</v>
      </c>
      <c r="T211" s="578">
        <v>0</v>
      </c>
      <c r="U211" s="578">
        <v>0</v>
      </c>
      <c r="V211" s="578">
        <v>0</v>
      </c>
      <c r="W211" s="578"/>
      <c r="X211" s="578">
        <v>0</v>
      </c>
      <c r="Y211" s="578">
        <v>0</v>
      </c>
      <c r="Z211" s="578">
        <v>0</v>
      </c>
      <c r="AA211" s="578">
        <v>0</v>
      </c>
      <c r="AB211" s="578">
        <v>25784.06</v>
      </c>
      <c r="AC211" s="578">
        <v>19300</v>
      </c>
      <c r="AD211" s="578">
        <v>86343</v>
      </c>
      <c r="AE211" s="578">
        <v>1678305.61</v>
      </c>
      <c r="AF211" s="578">
        <v>0</v>
      </c>
      <c r="AG211" s="578">
        <v>684688.86</v>
      </c>
      <c r="AH211" s="578">
        <v>0</v>
      </c>
      <c r="AI211" s="578">
        <v>264731.75</v>
      </c>
      <c r="AJ211" s="578">
        <v>0</v>
      </c>
      <c r="AK211" s="578">
        <v>75970.55</v>
      </c>
      <c r="AL211" s="578">
        <v>23526.37</v>
      </c>
      <c r="AM211" s="578">
        <v>0</v>
      </c>
      <c r="AN211" s="578">
        <v>0</v>
      </c>
      <c r="AO211" s="578">
        <v>0</v>
      </c>
      <c r="AP211" s="578">
        <v>0</v>
      </c>
      <c r="AQ211" s="578">
        <v>0</v>
      </c>
      <c r="AR211" s="578">
        <v>0</v>
      </c>
      <c r="AS211" s="578">
        <v>9955.4500000000007</v>
      </c>
      <c r="AT211" s="578">
        <v>40593.769999999997</v>
      </c>
      <c r="AU211" s="578">
        <v>70494.720000000001</v>
      </c>
      <c r="AV211" s="578">
        <v>10280.5</v>
      </c>
      <c r="AW211" s="578">
        <v>101601.22</v>
      </c>
      <c r="AX211" s="578">
        <v>34449.050000000003</v>
      </c>
      <c r="AY211" s="578">
        <v>0</v>
      </c>
      <c r="AZ211" s="578">
        <v>13533.86</v>
      </c>
      <c r="BA211" s="578">
        <v>16230</v>
      </c>
      <c r="BB211" s="578">
        <v>0</v>
      </c>
      <c r="BC211" s="578">
        <v>163576.14000000001</v>
      </c>
      <c r="BD211" s="578">
        <v>357724.06</v>
      </c>
      <c r="BE211" s="578">
        <v>0</v>
      </c>
      <c r="BF211" s="578">
        <v>246683.19</v>
      </c>
      <c r="BG211" s="578">
        <v>0</v>
      </c>
      <c r="BH211" s="578">
        <v>370.07</v>
      </c>
      <c r="BI211" s="578">
        <v>0</v>
      </c>
      <c r="BJ211" s="578">
        <v>0</v>
      </c>
      <c r="BK211" s="578">
        <v>0</v>
      </c>
      <c r="BL211" s="578">
        <v>10873.75</v>
      </c>
      <c r="BM211" s="578">
        <v>0</v>
      </c>
      <c r="BN211" s="578">
        <v>0</v>
      </c>
      <c r="BO211" s="578">
        <v>10000</v>
      </c>
      <c r="BP211" s="578">
        <v>0</v>
      </c>
      <c r="BQ211" s="578">
        <v>0</v>
      </c>
      <c r="BR211" s="578">
        <v>0</v>
      </c>
      <c r="BS211" s="578">
        <v>0</v>
      </c>
      <c r="BT211" s="578">
        <v>0</v>
      </c>
      <c r="BU211" s="578">
        <v>-137954.60999999999</v>
      </c>
      <c r="BV211" s="578">
        <v>10873.75</v>
      </c>
      <c r="BW211" s="578">
        <v>0</v>
      </c>
      <c r="BX211" s="578">
        <v>0</v>
      </c>
      <c r="BY211" s="578">
        <v>0</v>
      </c>
      <c r="BZ211" s="578">
        <v>3555140.21</v>
      </c>
      <c r="CA211" s="578">
        <v>3792715.17</v>
      </c>
      <c r="CB211" s="578">
        <v>10873.75</v>
      </c>
      <c r="CC211" s="578">
        <v>0</v>
      </c>
      <c r="CD211" s="578">
        <v>-127080.86</v>
      </c>
    </row>
    <row r="212" spans="1:82" hidden="1" x14ac:dyDescent="0.3">
      <c r="A212" s="574" t="s">
        <v>1797</v>
      </c>
      <c r="B212" s="577">
        <v>3305413</v>
      </c>
      <c r="C212" s="574">
        <f>_xlfn.XLOOKUP(B212,'[1]Blade-Export_15-08-2022_sources'!B:B,'[1]Blade-Export_15-08-2022_sources'!F:F,0,FALSE)</f>
        <v>330</v>
      </c>
      <c r="D212" s="574">
        <f>_xlfn.XLOOKUP($B212,'[1]Blade-Export_15-08-2022_sources'!$B:$B,'[1]Blade-Export_15-08-2022_sources'!G:G,0,FALSE)</f>
        <v>5413</v>
      </c>
      <c r="E212" s="574" t="str">
        <f>_xlfn.XLOOKUP($B212,'[1]Blade-Export_15-08-2022_sources'!$B:$B,'[1]Blade-Export_15-08-2022_sources'!H:H,0,FALSE)</f>
        <v xml:space="preserve">BISHOP CHALLONER Sec (16+) </v>
      </c>
      <c r="F212" s="578">
        <v>538992.22</v>
      </c>
      <c r="G212" s="578">
        <v>0</v>
      </c>
      <c r="H212" s="578">
        <v>0</v>
      </c>
      <c r="I212" s="578">
        <v>5621133.7999999998</v>
      </c>
      <c r="J212" s="578">
        <v>1401639.13</v>
      </c>
      <c r="K212" s="578">
        <v>93057.49</v>
      </c>
      <c r="L212" s="578">
        <v>0</v>
      </c>
      <c r="M212" s="578">
        <v>378151.5</v>
      </c>
      <c r="N212" s="578">
        <v>140191.06</v>
      </c>
      <c r="O212" s="578">
        <v>2000000</v>
      </c>
      <c r="P212" s="578">
        <v>0</v>
      </c>
      <c r="Q212" s="578">
        <v>547843.48</v>
      </c>
      <c r="R212" s="578">
        <v>246293.25</v>
      </c>
      <c r="S212" s="578">
        <v>0</v>
      </c>
      <c r="T212" s="578">
        <v>0</v>
      </c>
      <c r="U212" s="578">
        <v>115297.26</v>
      </c>
      <c r="V212" s="578">
        <v>0</v>
      </c>
      <c r="W212" s="578"/>
      <c r="X212" s="578">
        <v>0</v>
      </c>
      <c r="Y212" s="578">
        <v>0</v>
      </c>
      <c r="Z212" s="578">
        <v>0</v>
      </c>
      <c r="AA212" s="578">
        <v>0</v>
      </c>
      <c r="AB212" s="578">
        <v>62368.06</v>
      </c>
      <c r="AC212" s="578">
        <v>32450</v>
      </c>
      <c r="AD212" s="578">
        <v>0</v>
      </c>
      <c r="AE212" s="578">
        <v>5713499.3600000003</v>
      </c>
      <c r="AF212" s="578">
        <v>0</v>
      </c>
      <c r="AG212" s="578">
        <v>971664.71</v>
      </c>
      <c r="AH212" s="578">
        <v>363906.4</v>
      </c>
      <c r="AI212" s="578">
        <v>903175.41</v>
      </c>
      <c r="AJ212" s="578">
        <v>302657.01</v>
      </c>
      <c r="AK212" s="578">
        <v>57707.05</v>
      </c>
      <c r="AL212" s="578">
        <v>10945.12</v>
      </c>
      <c r="AM212" s="578">
        <v>13880.41</v>
      </c>
      <c r="AN212" s="578">
        <v>0</v>
      </c>
      <c r="AO212" s="578">
        <v>0</v>
      </c>
      <c r="AP212" s="578">
        <v>127754.11</v>
      </c>
      <c r="AQ212" s="578">
        <v>0</v>
      </c>
      <c r="AR212" s="578">
        <v>28677.23</v>
      </c>
      <c r="AS212" s="578">
        <v>12281.62</v>
      </c>
      <c r="AT212" s="578">
        <v>78120.479999999996</v>
      </c>
      <c r="AU212" s="578">
        <v>23978.5</v>
      </c>
      <c r="AV212" s="578">
        <v>127389.68</v>
      </c>
      <c r="AW212" s="578">
        <v>333763.62</v>
      </c>
      <c r="AX212" s="578">
        <v>141530.38</v>
      </c>
      <c r="AY212" s="578">
        <v>99998.67</v>
      </c>
      <c r="AZ212" s="578">
        <v>294775.13</v>
      </c>
      <c r="BA212" s="578">
        <v>29984.59</v>
      </c>
      <c r="BB212" s="578">
        <v>0</v>
      </c>
      <c r="BC212" s="578">
        <v>182642.67</v>
      </c>
      <c r="BD212" s="578">
        <v>98057.94</v>
      </c>
      <c r="BE212" s="578">
        <v>701780.94</v>
      </c>
      <c r="BF212" s="578">
        <v>66289.02</v>
      </c>
      <c r="BG212" s="578">
        <v>0</v>
      </c>
      <c r="BH212" s="578">
        <v>883.46</v>
      </c>
      <c r="BI212" s="578">
        <v>2572.56</v>
      </c>
      <c r="BJ212" s="578">
        <v>0</v>
      </c>
      <c r="BK212" s="578">
        <v>0</v>
      </c>
      <c r="BL212" s="578">
        <v>0</v>
      </c>
      <c r="BM212" s="578">
        <v>0</v>
      </c>
      <c r="BN212" s="578">
        <v>0</v>
      </c>
      <c r="BO212" s="578">
        <v>10000</v>
      </c>
      <c r="BP212" s="578">
        <v>0</v>
      </c>
      <c r="BQ212" s="578">
        <v>0</v>
      </c>
      <c r="BR212" s="578">
        <v>0</v>
      </c>
      <c r="BS212" s="578">
        <v>0</v>
      </c>
      <c r="BT212" s="578">
        <v>0</v>
      </c>
      <c r="BU212" s="578">
        <v>489501.19</v>
      </c>
      <c r="BV212" s="578">
        <v>0</v>
      </c>
      <c r="BW212" s="578">
        <v>0</v>
      </c>
      <c r="BX212" s="578">
        <v>0</v>
      </c>
      <c r="BY212" s="578">
        <v>0</v>
      </c>
      <c r="BZ212" s="578">
        <v>10638425.029999999</v>
      </c>
      <c r="CA212" s="578">
        <v>10687916.07</v>
      </c>
      <c r="CB212" s="578">
        <v>0</v>
      </c>
      <c r="CC212" s="578">
        <v>0</v>
      </c>
      <c r="CD212" s="578">
        <v>489501.19</v>
      </c>
    </row>
    <row r="213" spans="1:82" hidden="1" x14ac:dyDescent="0.3">
      <c r="A213" s="579" t="s">
        <v>1798</v>
      </c>
      <c r="B213" s="577">
        <v>3302024</v>
      </c>
      <c r="C213" s="574">
        <f>_xlfn.XLOOKUP(B213,'[1]Blade-Export_15-08-2022_sources'!B:B,'[1]Blade-Export_15-08-2022_sources'!F:F,0,FALSE)</f>
        <v>330</v>
      </c>
      <c r="D213" s="574">
        <f>_xlfn.XLOOKUP($B213,'[1]Blade-Export_15-08-2022_sources'!$B:$B,'[1]Blade-Export_15-08-2022_sources'!G:G,0,FALSE)</f>
        <v>2024</v>
      </c>
      <c r="E213" s="574" t="str">
        <f>_xlfn.XLOOKUP($B213,'[1]Blade-Export_15-08-2022_sources'!$B:$B,'[1]Blade-Export_15-08-2022_sources'!H:H,0,FALSE)</f>
        <v xml:space="preserve">BIRCHES GREEN J </v>
      </c>
      <c r="F213" s="578">
        <v>114649.05</v>
      </c>
      <c r="G213" s="578">
        <v>0</v>
      </c>
      <c r="H213" s="578">
        <v>0</v>
      </c>
      <c r="I213" s="578">
        <v>1050957.17</v>
      </c>
      <c r="J213" s="578">
        <v>0</v>
      </c>
      <c r="K213" s="578">
        <v>8103.98</v>
      </c>
      <c r="L213" s="578">
        <v>0</v>
      </c>
      <c r="M213" s="578">
        <v>176815</v>
      </c>
      <c r="N213" s="578">
        <v>4488.75</v>
      </c>
      <c r="O213" s="578">
        <v>0</v>
      </c>
      <c r="P213" s="578">
        <v>14958.74</v>
      </c>
      <c r="Q213" s="578">
        <v>18.61</v>
      </c>
      <c r="R213" s="578">
        <v>1784.22</v>
      </c>
      <c r="S213" s="578">
        <v>0</v>
      </c>
      <c r="T213" s="578">
        <v>0</v>
      </c>
      <c r="U213" s="578">
        <v>397.5</v>
      </c>
      <c r="V213" s="578">
        <v>0</v>
      </c>
      <c r="W213" s="578"/>
      <c r="X213" s="578">
        <v>0</v>
      </c>
      <c r="Y213" s="578">
        <v>0</v>
      </c>
      <c r="Z213" s="578">
        <v>0</v>
      </c>
      <c r="AA213" s="578">
        <v>0</v>
      </c>
      <c r="AB213" s="578">
        <v>13696.25</v>
      </c>
      <c r="AC213" s="578">
        <v>7330</v>
      </c>
      <c r="AD213" s="578">
        <v>18205</v>
      </c>
      <c r="AE213" s="578">
        <v>544806.94999999995</v>
      </c>
      <c r="AF213" s="578">
        <v>0</v>
      </c>
      <c r="AG213" s="578">
        <v>132296.07</v>
      </c>
      <c r="AH213" s="578">
        <v>16559.490000000002</v>
      </c>
      <c r="AI213" s="578">
        <v>43203.63</v>
      </c>
      <c r="AJ213" s="578">
        <v>253.59</v>
      </c>
      <c r="AK213" s="578">
        <v>30839.41</v>
      </c>
      <c r="AL213" s="578">
        <v>4369.6000000000004</v>
      </c>
      <c r="AM213" s="578">
        <v>2318.2399999999998</v>
      </c>
      <c r="AN213" s="578">
        <v>0</v>
      </c>
      <c r="AO213" s="578">
        <v>0</v>
      </c>
      <c r="AP213" s="578">
        <v>43454.48</v>
      </c>
      <c r="AQ213" s="578">
        <v>760.31</v>
      </c>
      <c r="AR213" s="578">
        <v>4065.68</v>
      </c>
      <c r="AS213" s="578">
        <v>13793.8</v>
      </c>
      <c r="AT213" s="578">
        <v>9944.4599999999991</v>
      </c>
      <c r="AU213" s="578">
        <v>20978.61</v>
      </c>
      <c r="AV213" s="578">
        <v>10488.9</v>
      </c>
      <c r="AW213" s="578">
        <v>34854.620000000003</v>
      </c>
      <c r="AX213" s="578">
        <v>15279.44</v>
      </c>
      <c r="AY213" s="578">
        <v>0</v>
      </c>
      <c r="AZ213" s="578">
        <v>103052.79</v>
      </c>
      <c r="BA213" s="578">
        <v>6706.87</v>
      </c>
      <c r="BB213" s="578">
        <v>0</v>
      </c>
      <c r="BC213" s="578">
        <v>36930.9</v>
      </c>
      <c r="BD213" s="578">
        <v>134844.87</v>
      </c>
      <c r="BE213" s="578">
        <v>1258.9000000000001</v>
      </c>
      <c r="BF213" s="578">
        <v>200342.66</v>
      </c>
      <c r="BG213" s="578">
        <v>0</v>
      </c>
      <c r="BH213" s="578">
        <v>0</v>
      </c>
      <c r="BI213" s="578">
        <v>0</v>
      </c>
      <c r="BJ213" s="578">
        <v>0</v>
      </c>
      <c r="BK213" s="578">
        <v>0</v>
      </c>
      <c r="BL213" s="578">
        <v>6441.25</v>
      </c>
      <c r="BM213" s="578">
        <v>0</v>
      </c>
      <c r="BN213" s="578">
        <v>0</v>
      </c>
      <c r="BO213" s="578">
        <v>10000</v>
      </c>
      <c r="BP213" s="578">
        <v>0</v>
      </c>
      <c r="BQ213" s="578">
        <v>1524.5</v>
      </c>
      <c r="BR213" s="578">
        <v>0</v>
      </c>
      <c r="BS213" s="578">
        <v>0</v>
      </c>
      <c r="BT213" s="578">
        <v>0</v>
      </c>
      <c r="BU213" s="578">
        <v>0</v>
      </c>
      <c r="BV213" s="578">
        <v>4916.75</v>
      </c>
      <c r="BW213" s="578">
        <v>0</v>
      </c>
      <c r="BX213" s="578">
        <v>0</v>
      </c>
      <c r="BY213" s="578">
        <v>0</v>
      </c>
      <c r="BZ213" s="578">
        <v>1296755.22</v>
      </c>
      <c r="CA213" s="578">
        <v>1411404.27</v>
      </c>
      <c r="CB213" s="578">
        <v>6441.25</v>
      </c>
      <c r="CC213" s="578">
        <v>1524.5</v>
      </c>
      <c r="CD213" s="578">
        <v>4916.75</v>
      </c>
    </row>
    <row r="214" spans="1:82" hidden="1" x14ac:dyDescent="0.3">
      <c r="A214" s="574" t="s">
        <v>1799</v>
      </c>
      <c r="B214" s="577">
        <v>3302025</v>
      </c>
      <c r="C214" s="574">
        <f>_xlfn.XLOOKUP(B214,'[1]Blade-Export_15-08-2022_sources'!B:B,'[1]Blade-Export_15-08-2022_sources'!F:F,0,FALSE)</f>
        <v>330</v>
      </c>
      <c r="D214" s="574">
        <f>_xlfn.XLOOKUP($B214,'[1]Blade-Export_15-08-2022_sources'!$B:$B,'[1]Blade-Export_15-08-2022_sources'!G:G,0,FALSE)</f>
        <v>2025</v>
      </c>
      <c r="E214" s="574" t="str">
        <f>_xlfn.XLOOKUP($B214,'[1]Blade-Export_15-08-2022_sources'!$B:$B,'[1]Blade-Export_15-08-2022_sources'!H:H,0,FALSE)</f>
        <v>BIRCHES GREEN I NC</v>
      </c>
      <c r="F214" s="578">
        <v>76122.75</v>
      </c>
      <c r="G214" s="578">
        <v>0</v>
      </c>
      <c r="H214" s="578">
        <v>22467.97</v>
      </c>
      <c r="I214" s="578">
        <v>1176201.75</v>
      </c>
      <c r="J214" s="578">
        <v>0</v>
      </c>
      <c r="K214" s="578">
        <v>25100</v>
      </c>
      <c r="L214" s="578">
        <v>0</v>
      </c>
      <c r="M214" s="578">
        <v>100185</v>
      </c>
      <c r="N214" s="578">
        <v>1949.06</v>
      </c>
      <c r="O214" s="578">
        <v>0</v>
      </c>
      <c r="P214" s="578">
        <v>160344.17000000001</v>
      </c>
      <c r="Q214" s="578">
        <v>90.2</v>
      </c>
      <c r="R214" s="578">
        <v>0</v>
      </c>
      <c r="S214" s="578">
        <v>0</v>
      </c>
      <c r="T214" s="578">
        <v>0</v>
      </c>
      <c r="U214" s="578">
        <v>3883.37</v>
      </c>
      <c r="V214" s="578">
        <v>0</v>
      </c>
      <c r="W214" s="578"/>
      <c r="X214" s="578">
        <v>0</v>
      </c>
      <c r="Y214" s="578">
        <v>0</v>
      </c>
      <c r="Z214" s="578">
        <v>0</v>
      </c>
      <c r="AA214" s="578">
        <v>0</v>
      </c>
      <c r="AB214" s="578">
        <v>8441.56</v>
      </c>
      <c r="AC214" s="578">
        <v>5360</v>
      </c>
      <c r="AD214" s="578">
        <v>51273</v>
      </c>
      <c r="AE214" s="578">
        <v>601157.13</v>
      </c>
      <c r="AF214" s="578">
        <v>0</v>
      </c>
      <c r="AG214" s="578">
        <v>249609.01</v>
      </c>
      <c r="AH214" s="578">
        <v>0</v>
      </c>
      <c r="AI214" s="578">
        <v>148854.07999999999</v>
      </c>
      <c r="AJ214" s="578">
        <v>52562.19</v>
      </c>
      <c r="AK214" s="578">
        <v>30673.79</v>
      </c>
      <c r="AL214" s="578">
        <v>2281.7800000000002</v>
      </c>
      <c r="AM214" s="578">
        <v>2544.42</v>
      </c>
      <c r="AN214" s="578">
        <v>0</v>
      </c>
      <c r="AO214" s="578">
        <v>0</v>
      </c>
      <c r="AP214" s="578">
        <v>11896.07</v>
      </c>
      <c r="AQ214" s="578">
        <v>0</v>
      </c>
      <c r="AR214" s="578">
        <v>78.77</v>
      </c>
      <c r="AS214" s="578">
        <v>5434.55</v>
      </c>
      <c r="AT214" s="578">
        <v>18798.400000000001</v>
      </c>
      <c r="AU214" s="578">
        <v>17870.669999999998</v>
      </c>
      <c r="AV214" s="578">
        <v>137.52000000000001</v>
      </c>
      <c r="AW214" s="578">
        <v>7344.8</v>
      </c>
      <c r="AX214" s="578">
        <v>4151.03</v>
      </c>
      <c r="AY214" s="578">
        <v>0</v>
      </c>
      <c r="AZ214" s="578">
        <v>289135.84000000003</v>
      </c>
      <c r="BA214" s="578">
        <v>4450</v>
      </c>
      <c r="BB214" s="578">
        <v>0</v>
      </c>
      <c r="BC214" s="578">
        <v>23834.91</v>
      </c>
      <c r="BD214" s="578">
        <v>31365.64</v>
      </c>
      <c r="BE214" s="578">
        <v>2293.4</v>
      </c>
      <c r="BF214" s="578">
        <v>39955.61</v>
      </c>
      <c r="BG214" s="578">
        <v>0</v>
      </c>
      <c r="BH214" s="578">
        <v>0</v>
      </c>
      <c r="BI214" s="578">
        <v>0</v>
      </c>
      <c r="BJ214" s="578">
        <v>0</v>
      </c>
      <c r="BK214" s="578">
        <v>0</v>
      </c>
      <c r="BL214" s="578">
        <v>6163.38</v>
      </c>
      <c r="BM214" s="578">
        <v>0</v>
      </c>
      <c r="BN214" s="578">
        <v>0</v>
      </c>
      <c r="BO214" s="578">
        <v>10000</v>
      </c>
      <c r="BP214" s="578">
        <v>0</v>
      </c>
      <c r="BQ214" s="578">
        <v>800</v>
      </c>
      <c r="BR214" s="578">
        <v>0</v>
      </c>
      <c r="BS214" s="578">
        <v>0</v>
      </c>
      <c r="BT214" s="578">
        <v>0</v>
      </c>
      <c r="BU214" s="578">
        <v>64521.26</v>
      </c>
      <c r="BV214" s="578">
        <v>27831.35</v>
      </c>
      <c r="BW214" s="578">
        <v>0</v>
      </c>
      <c r="BX214" s="578">
        <v>0</v>
      </c>
      <c r="BY214" s="578">
        <v>0</v>
      </c>
      <c r="BZ214" s="578">
        <v>1532828.11</v>
      </c>
      <c r="CA214" s="578">
        <v>1544429.61</v>
      </c>
      <c r="CB214" s="578">
        <v>6163.38</v>
      </c>
      <c r="CC214" s="578">
        <v>800</v>
      </c>
      <c r="CD214" s="578">
        <v>92352.61</v>
      </c>
    </row>
    <row r="215" spans="1:82" hidden="1" x14ac:dyDescent="0.3">
      <c r="A215" s="574" t="s">
        <v>1800</v>
      </c>
      <c r="B215" s="577">
        <v>3302435</v>
      </c>
      <c r="C215" s="574">
        <f>_xlfn.XLOOKUP(B215,'[1]Blade-Export_15-08-2022_sources'!B:B,'[1]Blade-Export_15-08-2022_sources'!F:F,0,FALSE)</f>
        <v>330</v>
      </c>
      <c r="D215" s="574">
        <f>_xlfn.XLOOKUP($B215,'[1]Blade-Export_15-08-2022_sources'!$B:$B,'[1]Blade-Export_15-08-2022_sources'!G:G,0,FALSE)</f>
        <v>2435</v>
      </c>
      <c r="E215" s="574" t="str">
        <f>_xlfn.XLOOKUP($B215,'[1]Blade-Export_15-08-2022_sources'!$B:$B,'[1]Blade-Export_15-08-2022_sources'!H:H,0,FALSE)</f>
        <v>BENSON JI NC</v>
      </c>
      <c r="F215" s="578">
        <v>675154.09</v>
      </c>
      <c r="G215" s="578">
        <v>0</v>
      </c>
      <c r="H215" s="578">
        <v>35442.69</v>
      </c>
      <c r="I215" s="578">
        <v>2255037.81</v>
      </c>
      <c r="J215" s="578">
        <v>0</v>
      </c>
      <c r="K215" s="578">
        <v>63023.5</v>
      </c>
      <c r="L215" s="578">
        <v>0</v>
      </c>
      <c r="M215" s="578">
        <v>348355</v>
      </c>
      <c r="N215" s="578">
        <v>8386.8799999999992</v>
      </c>
      <c r="O215" s="578">
        <v>0</v>
      </c>
      <c r="P215" s="578">
        <v>39371.620000000003</v>
      </c>
      <c r="Q215" s="578">
        <v>816.21</v>
      </c>
      <c r="R215" s="578">
        <v>0</v>
      </c>
      <c r="S215" s="578">
        <v>0</v>
      </c>
      <c r="T215" s="578">
        <v>0</v>
      </c>
      <c r="U215" s="578">
        <v>0</v>
      </c>
      <c r="V215" s="578">
        <v>0</v>
      </c>
      <c r="W215" s="578"/>
      <c r="X215" s="578">
        <v>0</v>
      </c>
      <c r="Y215" s="578">
        <v>0</v>
      </c>
      <c r="Z215" s="578">
        <v>0</v>
      </c>
      <c r="AA215" s="578">
        <v>0</v>
      </c>
      <c r="AB215" s="578">
        <v>27282.5</v>
      </c>
      <c r="AC215" s="578">
        <v>13860</v>
      </c>
      <c r="AD215" s="578">
        <v>47403.5</v>
      </c>
      <c r="AE215" s="578">
        <v>1134911.8400000001</v>
      </c>
      <c r="AF215" s="578">
        <v>0</v>
      </c>
      <c r="AG215" s="578">
        <v>463568.41</v>
      </c>
      <c r="AH215" s="578">
        <v>101366</v>
      </c>
      <c r="AI215" s="578">
        <v>157843.46</v>
      </c>
      <c r="AJ215" s="578">
        <v>85836.22</v>
      </c>
      <c r="AK215" s="578">
        <v>104910.36</v>
      </c>
      <c r="AL215" s="578">
        <v>5184.32</v>
      </c>
      <c r="AM215" s="578">
        <v>3354.75</v>
      </c>
      <c r="AN215" s="578">
        <v>0</v>
      </c>
      <c r="AO215" s="578">
        <v>0</v>
      </c>
      <c r="AP215" s="578">
        <v>102714.06</v>
      </c>
      <c r="AQ215" s="578">
        <v>3395.5</v>
      </c>
      <c r="AR215" s="578">
        <v>11172.77</v>
      </c>
      <c r="AS215" s="578">
        <v>2959.84</v>
      </c>
      <c r="AT215" s="578">
        <v>51506.35</v>
      </c>
      <c r="AU215" s="578">
        <v>46310.400000000001</v>
      </c>
      <c r="AV215" s="578">
        <v>14948.01</v>
      </c>
      <c r="AW215" s="578">
        <v>73330.009999999995</v>
      </c>
      <c r="AX215" s="578">
        <v>17783.560000000001</v>
      </c>
      <c r="AY215" s="578">
        <v>0</v>
      </c>
      <c r="AZ215" s="578">
        <v>46689.57</v>
      </c>
      <c r="BA215" s="578">
        <v>8200</v>
      </c>
      <c r="BB215" s="578">
        <v>0</v>
      </c>
      <c r="BC215" s="578">
        <v>62048.480000000003</v>
      </c>
      <c r="BD215" s="578">
        <v>205059.87</v>
      </c>
      <c r="BE215" s="578">
        <v>18006.38</v>
      </c>
      <c r="BF215" s="578">
        <v>173766.12</v>
      </c>
      <c r="BG215" s="578">
        <v>0</v>
      </c>
      <c r="BH215" s="578">
        <v>0</v>
      </c>
      <c r="BI215" s="578">
        <v>0</v>
      </c>
      <c r="BJ215" s="578">
        <v>0</v>
      </c>
      <c r="BK215" s="578">
        <v>0</v>
      </c>
      <c r="BL215" s="578">
        <v>9238</v>
      </c>
      <c r="BM215" s="578">
        <v>0</v>
      </c>
      <c r="BN215" s="578">
        <v>0</v>
      </c>
      <c r="BO215" s="578">
        <v>10000</v>
      </c>
      <c r="BP215" s="578">
        <v>0</v>
      </c>
      <c r="BQ215" s="578">
        <v>38995</v>
      </c>
      <c r="BR215" s="578">
        <v>0</v>
      </c>
      <c r="BS215" s="578">
        <v>0</v>
      </c>
      <c r="BT215" s="578">
        <v>0</v>
      </c>
      <c r="BU215" s="578">
        <v>583824.81999999995</v>
      </c>
      <c r="BV215" s="578">
        <v>5685.69</v>
      </c>
      <c r="BW215" s="578">
        <v>0</v>
      </c>
      <c r="BX215" s="578">
        <v>0</v>
      </c>
      <c r="BY215" s="578">
        <v>0</v>
      </c>
      <c r="BZ215" s="578">
        <v>2803537.02</v>
      </c>
      <c r="CA215" s="578">
        <v>2894866.28</v>
      </c>
      <c r="CB215" s="578">
        <v>9238</v>
      </c>
      <c r="CC215" s="578">
        <v>38995</v>
      </c>
      <c r="CD215" s="578">
        <v>589510.51</v>
      </c>
    </row>
    <row r="216" spans="1:82" hidden="1" x14ac:dyDescent="0.3">
      <c r="A216" s="574" t="s">
        <v>1801</v>
      </c>
      <c r="B216" s="577">
        <v>3302456</v>
      </c>
      <c r="C216" s="574">
        <f>_xlfn.XLOOKUP(B216,'[1]Blade-Export_15-08-2022_sources'!B:B,'[1]Blade-Export_15-08-2022_sources'!F:F,0,FALSE)</f>
        <v>330</v>
      </c>
      <c r="D216" s="574">
        <f>_xlfn.XLOOKUP($B216,'[1]Blade-Export_15-08-2022_sources'!$B:$B,'[1]Blade-Export_15-08-2022_sources'!G:G,0,FALSE)</f>
        <v>2456</v>
      </c>
      <c r="E216" s="574" t="str">
        <f>_xlfn.XLOOKUP($B216,'[1]Blade-Export_15-08-2022_sources'!$B:$B,'[1]Blade-Export_15-08-2022_sources'!H:H,0,FALSE)</f>
        <v xml:space="preserve">BELLS FARM JI </v>
      </c>
      <c r="F216" s="578">
        <v>56771.83</v>
      </c>
      <c r="G216" s="578">
        <v>0</v>
      </c>
      <c r="H216" s="578">
        <v>1705.35</v>
      </c>
      <c r="I216" s="578">
        <v>1144426.1299999999</v>
      </c>
      <c r="J216" s="578">
        <v>0</v>
      </c>
      <c r="K216" s="578">
        <v>4615.92</v>
      </c>
      <c r="L216" s="578">
        <v>0</v>
      </c>
      <c r="M216" s="578">
        <v>135155</v>
      </c>
      <c r="N216" s="578">
        <v>3130.31</v>
      </c>
      <c r="O216" s="578">
        <v>0</v>
      </c>
      <c r="P216" s="578">
        <v>31742.71</v>
      </c>
      <c r="Q216" s="578">
        <v>79.48</v>
      </c>
      <c r="R216" s="578">
        <v>0</v>
      </c>
      <c r="S216" s="578">
        <v>0</v>
      </c>
      <c r="T216" s="578">
        <v>0</v>
      </c>
      <c r="U216" s="578">
        <v>2761.58</v>
      </c>
      <c r="V216" s="578">
        <v>0</v>
      </c>
      <c r="W216" s="578"/>
      <c r="X216" s="578">
        <v>0</v>
      </c>
      <c r="Y216" s="578">
        <v>0</v>
      </c>
      <c r="Z216" s="578">
        <v>0</v>
      </c>
      <c r="AA216" s="578">
        <v>0</v>
      </c>
      <c r="AB216" s="578">
        <v>10307.81</v>
      </c>
      <c r="AC216" s="578">
        <v>6730</v>
      </c>
      <c r="AD216" s="578">
        <v>39500</v>
      </c>
      <c r="AE216" s="578">
        <v>606539.73</v>
      </c>
      <c r="AF216" s="578">
        <v>0</v>
      </c>
      <c r="AG216" s="578">
        <v>161115.99</v>
      </c>
      <c r="AH216" s="578">
        <v>42100.66</v>
      </c>
      <c r="AI216" s="578">
        <v>206316.56</v>
      </c>
      <c r="AJ216" s="578">
        <v>0</v>
      </c>
      <c r="AK216" s="578">
        <v>69230.39</v>
      </c>
      <c r="AL216" s="578">
        <v>2385</v>
      </c>
      <c r="AM216" s="578">
        <v>3655.02</v>
      </c>
      <c r="AN216" s="578">
        <v>0</v>
      </c>
      <c r="AO216" s="578">
        <v>0</v>
      </c>
      <c r="AP216" s="578">
        <v>1971.04</v>
      </c>
      <c r="AQ216" s="578">
        <v>45</v>
      </c>
      <c r="AR216" s="578">
        <v>1297.58</v>
      </c>
      <c r="AS216" s="578">
        <v>3716.49</v>
      </c>
      <c r="AT216" s="578">
        <v>18874.650000000001</v>
      </c>
      <c r="AU216" s="578">
        <v>29588.21</v>
      </c>
      <c r="AV216" s="578">
        <v>8764.27</v>
      </c>
      <c r="AW216" s="578">
        <v>39747.83</v>
      </c>
      <c r="AX216" s="578">
        <v>25485.71</v>
      </c>
      <c r="AY216" s="578">
        <v>0</v>
      </c>
      <c r="AZ216" s="578">
        <v>13654.88</v>
      </c>
      <c r="BA216" s="578">
        <v>5100</v>
      </c>
      <c r="BB216" s="578">
        <v>0</v>
      </c>
      <c r="BC216" s="578">
        <v>16685.330000000002</v>
      </c>
      <c r="BD216" s="578">
        <v>0</v>
      </c>
      <c r="BE216" s="578">
        <v>13181.75</v>
      </c>
      <c r="BF216" s="578">
        <v>42782.6</v>
      </c>
      <c r="BG216" s="578">
        <v>0</v>
      </c>
      <c r="BH216" s="578">
        <v>0</v>
      </c>
      <c r="BI216" s="578">
        <v>3483</v>
      </c>
      <c r="BJ216" s="578">
        <v>0</v>
      </c>
      <c r="BK216" s="578">
        <v>0</v>
      </c>
      <c r="BL216" s="578">
        <v>6261.25</v>
      </c>
      <c r="BM216" s="578">
        <v>0</v>
      </c>
      <c r="BN216" s="578">
        <v>0</v>
      </c>
      <c r="BO216" s="578">
        <v>10000</v>
      </c>
      <c r="BP216" s="578">
        <v>0</v>
      </c>
      <c r="BQ216" s="578">
        <v>7105.6</v>
      </c>
      <c r="BR216" s="578">
        <v>0</v>
      </c>
      <c r="BS216" s="578">
        <v>0</v>
      </c>
      <c r="BT216" s="578">
        <v>0</v>
      </c>
      <c r="BU216" s="578">
        <v>119499.09</v>
      </c>
      <c r="BV216" s="578">
        <v>861</v>
      </c>
      <c r="BW216" s="578">
        <v>0</v>
      </c>
      <c r="BX216" s="578">
        <v>0</v>
      </c>
      <c r="BY216" s="578">
        <v>0</v>
      </c>
      <c r="BZ216" s="578">
        <v>1378448.94</v>
      </c>
      <c r="CA216" s="578">
        <v>1315721.69</v>
      </c>
      <c r="CB216" s="578">
        <v>6261.25</v>
      </c>
      <c r="CC216" s="578">
        <v>7105.6</v>
      </c>
      <c r="CD216" s="578">
        <v>120360.09</v>
      </c>
    </row>
    <row r="217" spans="1:82" hidden="1" x14ac:dyDescent="0.3">
      <c r="A217" s="574" t="s">
        <v>1802</v>
      </c>
      <c r="B217" s="577">
        <v>3302241</v>
      </c>
      <c r="C217" s="574">
        <f>_xlfn.XLOOKUP(B217,'[1]Blade-Export_15-08-2022_sources'!B:B,'[1]Blade-Export_15-08-2022_sources'!F:F,0,FALSE)</f>
        <v>330</v>
      </c>
      <c r="D217" s="574">
        <f>_xlfn.XLOOKUP($B217,'[1]Blade-Export_15-08-2022_sources'!$B:$B,'[1]Blade-Export_15-08-2022_sources'!G:G,0,FALSE)</f>
        <v>2241</v>
      </c>
      <c r="E217" s="574" t="str">
        <f>_xlfn.XLOOKUP($B217,'[1]Blade-Export_15-08-2022_sources'!$B:$B,'[1]Blade-Export_15-08-2022_sources'!H:H,0,FALSE)</f>
        <v xml:space="preserve">BELLFIELD J </v>
      </c>
      <c r="F217" s="578">
        <v>322588.46000000002</v>
      </c>
      <c r="G217" s="578">
        <v>0</v>
      </c>
      <c r="H217" s="578">
        <v>367.43</v>
      </c>
      <c r="I217" s="578">
        <v>1590999.29</v>
      </c>
      <c r="J217" s="578">
        <v>0</v>
      </c>
      <c r="K217" s="578">
        <v>17873.38</v>
      </c>
      <c r="L217" s="578">
        <v>0</v>
      </c>
      <c r="M217" s="578">
        <v>231960</v>
      </c>
      <c r="N217" s="578">
        <v>6142.5</v>
      </c>
      <c r="O217" s="578">
        <v>0</v>
      </c>
      <c r="P217" s="578">
        <v>185393.19</v>
      </c>
      <c r="Q217" s="578">
        <v>451.62</v>
      </c>
      <c r="R217" s="578">
        <v>41.1</v>
      </c>
      <c r="S217" s="578">
        <v>0</v>
      </c>
      <c r="T217" s="578">
        <v>0</v>
      </c>
      <c r="U217" s="578">
        <v>21265.05</v>
      </c>
      <c r="V217" s="578">
        <v>0</v>
      </c>
      <c r="W217" s="578"/>
      <c r="X217" s="578">
        <v>0</v>
      </c>
      <c r="Y217" s="578">
        <v>0</v>
      </c>
      <c r="Z217" s="578">
        <v>0</v>
      </c>
      <c r="AA217" s="578">
        <v>0</v>
      </c>
      <c r="AB217" s="578">
        <v>18494.38</v>
      </c>
      <c r="AC217" s="578">
        <v>10330</v>
      </c>
      <c r="AD217" s="578">
        <v>19127</v>
      </c>
      <c r="AE217" s="578">
        <v>856138.74</v>
      </c>
      <c r="AF217" s="578">
        <v>4858.53</v>
      </c>
      <c r="AG217" s="578">
        <v>272045.71999999997</v>
      </c>
      <c r="AH217" s="578">
        <v>55457.19</v>
      </c>
      <c r="AI217" s="578">
        <v>224120.1</v>
      </c>
      <c r="AJ217" s="578">
        <v>353.43</v>
      </c>
      <c r="AK217" s="578">
        <v>63967.9</v>
      </c>
      <c r="AL217" s="578">
        <v>4056.43</v>
      </c>
      <c r="AM217" s="578">
        <v>4058</v>
      </c>
      <c r="AN217" s="578">
        <v>0</v>
      </c>
      <c r="AO217" s="578">
        <v>0</v>
      </c>
      <c r="AP217" s="578">
        <v>50475.39</v>
      </c>
      <c r="AQ217" s="578">
        <v>4621</v>
      </c>
      <c r="AR217" s="578">
        <v>18721.71</v>
      </c>
      <c r="AS217" s="578">
        <v>4204.58</v>
      </c>
      <c r="AT217" s="578">
        <v>31542.74</v>
      </c>
      <c r="AU217" s="578">
        <v>12535.99</v>
      </c>
      <c r="AV217" s="578">
        <v>5546.73</v>
      </c>
      <c r="AW217" s="578">
        <v>87105.03</v>
      </c>
      <c r="AX217" s="578">
        <v>12721.9</v>
      </c>
      <c r="AY217" s="578">
        <v>0</v>
      </c>
      <c r="AZ217" s="578">
        <v>34616.33</v>
      </c>
      <c r="BA217" s="578">
        <v>8200</v>
      </c>
      <c r="BB217" s="578">
        <v>0</v>
      </c>
      <c r="BC217" s="578">
        <v>40199.78</v>
      </c>
      <c r="BD217" s="578">
        <v>21436.25</v>
      </c>
      <c r="BE217" s="578">
        <v>225.95</v>
      </c>
      <c r="BF217" s="578">
        <v>226504.64</v>
      </c>
      <c r="BG217" s="578">
        <v>0</v>
      </c>
      <c r="BH217" s="578">
        <v>0</v>
      </c>
      <c r="BI217" s="578">
        <v>16785</v>
      </c>
      <c r="BJ217" s="578">
        <v>0</v>
      </c>
      <c r="BK217" s="578">
        <v>0</v>
      </c>
      <c r="BL217" s="578">
        <v>7543.75</v>
      </c>
      <c r="BM217" s="578">
        <v>0</v>
      </c>
      <c r="BN217" s="578">
        <v>0</v>
      </c>
      <c r="BO217" s="578">
        <v>10000</v>
      </c>
      <c r="BP217" s="578">
        <v>0</v>
      </c>
      <c r="BQ217" s="578">
        <v>2995</v>
      </c>
      <c r="BR217" s="578">
        <v>0</v>
      </c>
      <c r="BS217" s="578">
        <v>0</v>
      </c>
      <c r="BT217" s="578">
        <v>0</v>
      </c>
      <c r="BU217" s="578">
        <v>364166.91</v>
      </c>
      <c r="BV217" s="578">
        <v>4916.18</v>
      </c>
      <c r="BW217" s="578">
        <v>0</v>
      </c>
      <c r="BX217" s="578">
        <v>0</v>
      </c>
      <c r="BY217" s="578">
        <v>0</v>
      </c>
      <c r="BZ217" s="578">
        <v>2102077.5099999998</v>
      </c>
      <c r="CA217" s="578">
        <v>2060499.06</v>
      </c>
      <c r="CB217" s="578">
        <v>7543.75</v>
      </c>
      <c r="CC217" s="578">
        <v>2995</v>
      </c>
      <c r="CD217" s="578">
        <v>369083.09</v>
      </c>
    </row>
    <row r="218" spans="1:82" hidden="1" x14ac:dyDescent="0.3">
      <c r="A218" s="574" t="s">
        <v>1803</v>
      </c>
      <c r="B218" s="577">
        <v>3302239</v>
      </c>
      <c r="C218" s="574">
        <f>_xlfn.XLOOKUP(B218,'[1]Blade-Export_15-08-2022_sources'!B:B,'[1]Blade-Export_15-08-2022_sources'!F:F,0,FALSE)</f>
        <v>330</v>
      </c>
      <c r="D218" s="574">
        <f>_xlfn.XLOOKUP($B218,'[1]Blade-Export_15-08-2022_sources'!$B:$B,'[1]Blade-Export_15-08-2022_sources'!G:G,0,FALSE)</f>
        <v>2239</v>
      </c>
      <c r="E218" s="574" t="str">
        <f>_xlfn.XLOOKUP($B218,'[1]Blade-Export_15-08-2022_sources'!$B:$B,'[1]Blade-Export_15-08-2022_sources'!H:H,0,FALSE)</f>
        <v>BELLFIELD I NC</v>
      </c>
      <c r="F218" s="578">
        <v>251826.2</v>
      </c>
      <c r="G218" s="578">
        <v>0</v>
      </c>
      <c r="H218" s="578">
        <v>17524.650000000001</v>
      </c>
      <c r="I218" s="578">
        <v>1017398.2</v>
      </c>
      <c r="J218" s="578">
        <v>0</v>
      </c>
      <c r="K218" s="578">
        <v>10751.25</v>
      </c>
      <c r="L218" s="578">
        <v>0</v>
      </c>
      <c r="M218" s="578">
        <v>103875</v>
      </c>
      <c r="N218" s="578">
        <v>1830.94</v>
      </c>
      <c r="O218" s="578">
        <v>0</v>
      </c>
      <c r="P218" s="578">
        <v>184909.17</v>
      </c>
      <c r="Q218" s="578">
        <v>352.56</v>
      </c>
      <c r="R218" s="578">
        <v>3764.56</v>
      </c>
      <c r="S218" s="578">
        <v>0</v>
      </c>
      <c r="T218" s="578">
        <v>0</v>
      </c>
      <c r="U218" s="578">
        <v>10452</v>
      </c>
      <c r="V218" s="578">
        <v>0</v>
      </c>
      <c r="W218" s="578"/>
      <c r="X218" s="578">
        <v>0</v>
      </c>
      <c r="Y218" s="578">
        <v>0</v>
      </c>
      <c r="Z218" s="578">
        <v>0</v>
      </c>
      <c r="AA218" s="578">
        <v>0</v>
      </c>
      <c r="AB218" s="578">
        <v>9793.77</v>
      </c>
      <c r="AC218" s="578">
        <v>5900</v>
      </c>
      <c r="AD218" s="578">
        <v>56156</v>
      </c>
      <c r="AE218" s="578">
        <v>477319.8</v>
      </c>
      <c r="AF218" s="578">
        <v>0</v>
      </c>
      <c r="AG218" s="578">
        <v>303374.61</v>
      </c>
      <c r="AH218" s="578">
        <v>53524.65</v>
      </c>
      <c r="AI218" s="578">
        <v>216609.81</v>
      </c>
      <c r="AJ218" s="578">
        <v>245.75</v>
      </c>
      <c r="AK218" s="578">
        <v>44354.03</v>
      </c>
      <c r="AL218" s="578">
        <v>1373.1</v>
      </c>
      <c r="AM218" s="578">
        <v>2971.15</v>
      </c>
      <c r="AN218" s="578">
        <v>0</v>
      </c>
      <c r="AO218" s="578">
        <v>0</v>
      </c>
      <c r="AP218" s="578">
        <v>22553.759999999998</v>
      </c>
      <c r="AQ218" s="578">
        <v>1275</v>
      </c>
      <c r="AR218" s="578">
        <v>9308.7099999999991</v>
      </c>
      <c r="AS218" s="578">
        <v>0</v>
      </c>
      <c r="AT218" s="578">
        <v>11000.37</v>
      </c>
      <c r="AU218" s="578">
        <v>10782.14</v>
      </c>
      <c r="AV218" s="578">
        <v>511.37</v>
      </c>
      <c r="AW218" s="578">
        <v>63463.42</v>
      </c>
      <c r="AX218" s="578">
        <v>11315.68</v>
      </c>
      <c r="AY218" s="578">
        <v>0</v>
      </c>
      <c r="AZ218" s="578">
        <v>21560.53</v>
      </c>
      <c r="BA218" s="578">
        <v>4450</v>
      </c>
      <c r="BB218" s="578">
        <v>0</v>
      </c>
      <c r="BC218" s="578">
        <v>23233.46</v>
      </c>
      <c r="BD218" s="578">
        <v>1172.1600000000001</v>
      </c>
      <c r="BE218" s="578">
        <v>1208.93</v>
      </c>
      <c r="BF218" s="578">
        <v>115356.41</v>
      </c>
      <c r="BG218" s="578">
        <v>0</v>
      </c>
      <c r="BH218" s="578">
        <v>0</v>
      </c>
      <c r="BI218" s="578">
        <v>6992.6</v>
      </c>
      <c r="BJ218" s="578">
        <v>0</v>
      </c>
      <c r="BK218" s="578">
        <v>0</v>
      </c>
      <c r="BL218" s="578">
        <v>6184.75</v>
      </c>
      <c r="BM218" s="578">
        <v>0</v>
      </c>
      <c r="BN218" s="578">
        <v>0</v>
      </c>
      <c r="BO218" s="578">
        <v>10000</v>
      </c>
      <c r="BP218" s="578">
        <v>0</v>
      </c>
      <c r="BQ218" s="578">
        <v>12965</v>
      </c>
      <c r="BR218" s="578">
        <v>0</v>
      </c>
      <c r="BS218" s="578">
        <v>0</v>
      </c>
      <c r="BT218" s="578">
        <v>0</v>
      </c>
      <c r="BU218" s="578">
        <v>253052.2</v>
      </c>
      <c r="BV218" s="578">
        <v>10744.4</v>
      </c>
      <c r="BW218" s="578">
        <v>0</v>
      </c>
      <c r="BX218" s="578">
        <v>0</v>
      </c>
      <c r="BY218" s="578">
        <v>0</v>
      </c>
      <c r="BZ218" s="578">
        <v>1405183.45</v>
      </c>
      <c r="CA218" s="578">
        <v>1403957.44</v>
      </c>
      <c r="CB218" s="578">
        <v>6184.75</v>
      </c>
      <c r="CC218" s="578">
        <v>12965</v>
      </c>
      <c r="CD218" s="578">
        <v>263796.59999999998</v>
      </c>
    </row>
    <row r="219" spans="1:82" hidden="1" x14ac:dyDescent="0.3">
      <c r="A219" s="574" t="s">
        <v>1804</v>
      </c>
      <c r="B219" s="577">
        <v>3307052</v>
      </c>
      <c r="C219" s="574">
        <f>_xlfn.XLOOKUP(B219,'[1]Blade-Export_15-08-2022_sources'!B:B,'[1]Blade-Export_15-08-2022_sources'!F:F,0,FALSE)</f>
        <v>330</v>
      </c>
      <c r="D219" s="574">
        <f>_xlfn.XLOOKUP($B219,'[1]Blade-Export_15-08-2022_sources'!$B:$B,'[1]Blade-Export_15-08-2022_sources'!G:G,0,FALSE)</f>
        <v>7052</v>
      </c>
      <c r="E219" s="574" t="str">
        <f>_xlfn.XLOOKUP($B219,'[1]Blade-Export_15-08-2022_sources'!$B:$B,'[1]Blade-Export_15-08-2022_sources'!H:H,0,FALSE)</f>
        <v>BEAUFORT Spec</v>
      </c>
      <c r="F219" s="578">
        <v>409052.65</v>
      </c>
      <c r="G219" s="578">
        <v>0</v>
      </c>
      <c r="H219" s="578">
        <v>25426.83</v>
      </c>
      <c r="I219" s="578">
        <v>2066845.85</v>
      </c>
      <c r="J219" s="578">
        <v>0</v>
      </c>
      <c r="K219" s="578">
        <v>0</v>
      </c>
      <c r="L219" s="578">
        <v>0</v>
      </c>
      <c r="M219" s="578">
        <v>58490</v>
      </c>
      <c r="N219" s="578">
        <v>3855.47</v>
      </c>
      <c r="O219" s="578">
        <v>0</v>
      </c>
      <c r="P219" s="578">
        <v>10574.71</v>
      </c>
      <c r="Q219" s="578">
        <v>531.16999999999996</v>
      </c>
      <c r="R219" s="578">
        <v>0</v>
      </c>
      <c r="S219" s="578">
        <v>0</v>
      </c>
      <c r="T219" s="578">
        <v>0</v>
      </c>
      <c r="U219" s="578">
        <v>0</v>
      </c>
      <c r="V219" s="578">
        <v>0</v>
      </c>
      <c r="W219" s="578"/>
      <c r="X219" s="578">
        <v>0</v>
      </c>
      <c r="Y219" s="578">
        <v>0</v>
      </c>
      <c r="Z219" s="578">
        <v>0</v>
      </c>
      <c r="AA219" s="578">
        <v>0</v>
      </c>
      <c r="AB219" s="578">
        <v>9945.4699999999993</v>
      </c>
      <c r="AC219" s="578">
        <v>7700</v>
      </c>
      <c r="AD219" s="578">
        <v>19488</v>
      </c>
      <c r="AE219" s="578">
        <v>467999.09</v>
      </c>
      <c r="AF219" s="578">
        <v>0</v>
      </c>
      <c r="AG219" s="578">
        <v>614614.43000000005</v>
      </c>
      <c r="AH219" s="578">
        <v>0</v>
      </c>
      <c r="AI219" s="578">
        <v>146813.74</v>
      </c>
      <c r="AJ219" s="578">
        <v>0</v>
      </c>
      <c r="AK219" s="578">
        <v>173552.86</v>
      </c>
      <c r="AL219" s="578">
        <v>3440.4</v>
      </c>
      <c r="AM219" s="578">
        <v>7544</v>
      </c>
      <c r="AN219" s="578">
        <v>0</v>
      </c>
      <c r="AO219" s="578">
        <v>0</v>
      </c>
      <c r="AP219" s="578">
        <v>3272.6</v>
      </c>
      <c r="AQ219" s="578">
        <v>0</v>
      </c>
      <c r="AR219" s="578">
        <v>1437.02</v>
      </c>
      <c r="AS219" s="578">
        <v>0</v>
      </c>
      <c r="AT219" s="578">
        <v>0</v>
      </c>
      <c r="AU219" s="578">
        <v>0</v>
      </c>
      <c r="AV219" s="578">
        <v>101336</v>
      </c>
      <c r="AW219" s="578">
        <v>41866.49</v>
      </c>
      <c r="AX219" s="578">
        <v>4777.75</v>
      </c>
      <c r="AY219" s="578">
        <v>0</v>
      </c>
      <c r="AZ219" s="578">
        <v>725.16</v>
      </c>
      <c r="BA219" s="578">
        <v>2850</v>
      </c>
      <c r="BB219" s="578">
        <v>0</v>
      </c>
      <c r="BC219" s="578">
        <v>10779.23</v>
      </c>
      <c r="BD219" s="578">
        <v>324865.40999999997</v>
      </c>
      <c r="BE219" s="578">
        <v>12181</v>
      </c>
      <c r="BF219" s="578">
        <v>288493.17</v>
      </c>
      <c r="BG219" s="578">
        <v>0</v>
      </c>
      <c r="BH219" s="578">
        <v>0</v>
      </c>
      <c r="BI219" s="578">
        <v>0</v>
      </c>
      <c r="BJ219" s="578">
        <v>0</v>
      </c>
      <c r="BK219" s="578">
        <v>0</v>
      </c>
      <c r="BL219" s="578">
        <v>8181.62</v>
      </c>
      <c r="BM219" s="578">
        <v>0</v>
      </c>
      <c r="BN219" s="578">
        <v>0</v>
      </c>
      <c r="BO219" s="578">
        <v>10000</v>
      </c>
      <c r="BP219" s="578">
        <v>0</v>
      </c>
      <c r="BQ219" s="578">
        <v>10457.790000000001</v>
      </c>
      <c r="BR219" s="578">
        <v>0</v>
      </c>
      <c r="BS219" s="578">
        <v>0</v>
      </c>
      <c r="BT219" s="578">
        <v>0</v>
      </c>
      <c r="BU219" s="578">
        <v>379934.96</v>
      </c>
      <c r="BV219" s="578">
        <v>23150.66</v>
      </c>
      <c r="BW219" s="578">
        <v>0</v>
      </c>
      <c r="BX219" s="578">
        <v>0</v>
      </c>
      <c r="BY219" s="578">
        <v>0</v>
      </c>
      <c r="BZ219" s="578">
        <v>2177430.67</v>
      </c>
      <c r="CA219" s="578">
        <v>2206548.35</v>
      </c>
      <c r="CB219" s="578">
        <v>8181.62</v>
      </c>
      <c r="CC219" s="578">
        <v>10457.790000000001</v>
      </c>
      <c r="CD219" s="578">
        <v>403085.62</v>
      </c>
    </row>
    <row r="220" spans="1:82" hidden="1" x14ac:dyDescent="0.3">
      <c r="A220" s="574" t="s">
        <v>1805</v>
      </c>
      <c r="B220" s="577">
        <v>3307016</v>
      </c>
      <c r="C220" s="574">
        <f>_xlfn.XLOOKUP(B220,'[1]Blade-Export_15-08-2022_sources'!B:B,'[1]Blade-Export_15-08-2022_sources'!F:F,0,FALSE)</f>
        <v>330</v>
      </c>
      <c r="D220" s="574">
        <f>_xlfn.XLOOKUP($B220,'[1]Blade-Export_15-08-2022_sources'!$B:$B,'[1]Blade-Export_15-08-2022_sources'!G:G,0,FALSE)</f>
        <v>7016</v>
      </c>
      <c r="E220" s="574" t="str">
        <f>_xlfn.XLOOKUP($B220,'[1]Blade-Export_15-08-2022_sources'!$B:$B,'[1]Blade-Export_15-08-2022_sources'!H:H,0,FALSE)</f>
        <v>BASKERVILLE Spec</v>
      </c>
      <c r="F220" s="578">
        <v>566003.66</v>
      </c>
      <c r="G220" s="578">
        <v>0</v>
      </c>
      <c r="H220" s="578">
        <v>7875.27</v>
      </c>
      <c r="I220" s="578">
        <v>5627054.9400000004</v>
      </c>
      <c r="J220" s="578">
        <v>3886.32</v>
      </c>
      <c r="K220" s="578">
        <v>0</v>
      </c>
      <c r="L220" s="578">
        <v>0</v>
      </c>
      <c r="M220" s="578">
        <v>48060</v>
      </c>
      <c r="N220" s="578">
        <v>13686.56</v>
      </c>
      <c r="O220" s="578">
        <v>0</v>
      </c>
      <c r="P220" s="578">
        <v>176631.48</v>
      </c>
      <c r="Q220" s="578">
        <v>792.41</v>
      </c>
      <c r="R220" s="578">
        <v>7464.56</v>
      </c>
      <c r="S220" s="578">
        <v>0</v>
      </c>
      <c r="T220" s="578">
        <v>0</v>
      </c>
      <c r="U220" s="578">
        <v>156</v>
      </c>
      <c r="V220" s="578">
        <v>0</v>
      </c>
      <c r="W220" s="578"/>
      <c r="X220" s="578">
        <v>0</v>
      </c>
      <c r="Y220" s="578">
        <v>0</v>
      </c>
      <c r="Z220" s="578">
        <v>0</v>
      </c>
      <c r="AA220" s="578">
        <v>0</v>
      </c>
      <c r="AB220" s="578">
        <v>24476.560000000001</v>
      </c>
      <c r="AC220" s="578">
        <v>16000</v>
      </c>
      <c r="AD220" s="578">
        <v>0</v>
      </c>
      <c r="AE220" s="578">
        <v>1632970.36</v>
      </c>
      <c r="AF220" s="578">
        <v>0</v>
      </c>
      <c r="AG220" s="578">
        <v>1004706.82</v>
      </c>
      <c r="AH220" s="578">
        <v>82933.98</v>
      </c>
      <c r="AI220" s="578">
        <v>710966.66</v>
      </c>
      <c r="AJ220" s="578">
        <v>25007.14</v>
      </c>
      <c r="AK220" s="578">
        <v>386564.03</v>
      </c>
      <c r="AL220" s="578">
        <v>6784.24</v>
      </c>
      <c r="AM220" s="578">
        <v>15572</v>
      </c>
      <c r="AN220" s="578">
        <v>0</v>
      </c>
      <c r="AO220" s="578">
        <v>0</v>
      </c>
      <c r="AP220" s="578">
        <v>110462.02</v>
      </c>
      <c r="AQ220" s="578">
        <v>18615.900000000001</v>
      </c>
      <c r="AR220" s="578">
        <v>33673.15</v>
      </c>
      <c r="AS220" s="578">
        <v>4929.96</v>
      </c>
      <c r="AT220" s="578">
        <v>71310.3</v>
      </c>
      <c r="AU220" s="578">
        <v>0</v>
      </c>
      <c r="AV220" s="578">
        <v>14891.27</v>
      </c>
      <c r="AW220" s="578">
        <v>90825.44</v>
      </c>
      <c r="AX220" s="578">
        <v>51700.14</v>
      </c>
      <c r="AY220" s="578">
        <v>5614.9</v>
      </c>
      <c r="AZ220" s="578">
        <v>41023.949999999997</v>
      </c>
      <c r="BA220" s="578">
        <v>2850</v>
      </c>
      <c r="BB220" s="578">
        <v>0</v>
      </c>
      <c r="BC220" s="578">
        <v>63420.52</v>
      </c>
      <c r="BD220" s="578">
        <v>702136.13</v>
      </c>
      <c r="BE220" s="578">
        <v>975.03</v>
      </c>
      <c r="BF220" s="578">
        <v>566196.86</v>
      </c>
      <c r="BG220" s="578">
        <v>0</v>
      </c>
      <c r="BH220" s="578">
        <v>0</v>
      </c>
      <c r="BI220" s="578">
        <v>44150.69</v>
      </c>
      <c r="BJ220" s="578">
        <v>0</v>
      </c>
      <c r="BK220" s="578">
        <v>0</v>
      </c>
      <c r="BL220" s="578">
        <v>11365.94</v>
      </c>
      <c r="BM220" s="578">
        <v>0</v>
      </c>
      <c r="BN220" s="578">
        <v>0</v>
      </c>
      <c r="BO220" s="578">
        <v>10000</v>
      </c>
      <c r="BP220" s="578">
        <v>0</v>
      </c>
      <c r="BQ220" s="578">
        <v>0</v>
      </c>
      <c r="BR220" s="578">
        <v>0</v>
      </c>
      <c r="BS220" s="578">
        <v>0</v>
      </c>
      <c r="BT220" s="578">
        <v>0</v>
      </c>
      <c r="BU220" s="578">
        <v>795930.99</v>
      </c>
      <c r="BV220" s="578">
        <v>19241.21</v>
      </c>
      <c r="BW220" s="578">
        <v>0</v>
      </c>
      <c r="BX220" s="578">
        <v>0</v>
      </c>
      <c r="BY220" s="578">
        <v>0</v>
      </c>
      <c r="BZ220" s="578">
        <v>5918208.8300000001</v>
      </c>
      <c r="CA220" s="578">
        <v>5688281.4900000002</v>
      </c>
      <c r="CB220" s="578">
        <v>11365.94</v>
      </c>
      <c r="CC220" s="578">
        <v>0</v>
      </c>
      <c r="CD220" s="578">
        <v>815172.2</v>
      </c>
    </row>
    <row r="221" spans="1:82" hidden="1" x14ac:dyDescent="0.3">
      <c r="A221" s="574" t="s">
        <v>1806</v>
      </c>
      <c r="B221" s="577">
        <v>3302014</v>
      </c>
      <c r="C221" s="574">
        <f>_xlfn.XLOOKUP(B221,'[1]Blade-Export_15-08-2022_sources'!B:B,'[1]Blade-Export_15-08-2022_sources'!F:F,0,FALSE)</f>
        <v>330</v>
      </c>
      <c r="D221" s="574">
        <f>_xlfn.XLOOKUP($B221,'[1]Blade-Export_15-08-2022_sources'!$B:$B,'[1]Blade-Export_15-08-2022_sources'!G:G,0,FALSE)</f>
        <v>2014</v>
      </c>
      <c r="E221" s="574" t="str">
        <f>_xlfn.XLOOKUP($B221,'[1]Blade-Export_15-08-2022_sources'!$B:$B,'[1]Blade-Export_15-08-2022_sources'!H:H,0,FALSE)</f>
        <v>BARFORD JI NC</v>
      </c>
      <c r="F221" s="578">
        <v>642974.57999999996</v>
      </c>
      <c r="G221" s="578">
        <v>0</v>
      </c>
      <c r="H221" s="578">
        <v>29521.88</v>
      </c>
      <c r="I221" s="578">
        <v>1982952.21</v>
      </c>
      <c r="J221" s="578">
        <v>0</v>
      </c>
      <c r="K221" s="578">
        <v>4000</v>
      </c>
      <c r="L221" s="578">
        <v>0</v>
      </c>
      <c r="M221" s="578">
        <v>201750</v>
      </c>
      <c r="N221" s="578">
        <v>5020.3100000000004</v>
      </c>
      <c r="O221" s="578">
        <v>0</v>
      </c>
      <c r="P221" s="578">
        <v>22906.799999999999</v>
      </c>
      <c r="Q221" s="578">
        <v>757.65</v>
      </c>
      <c r="R221" s="578">
        <v>0</v>
      </c>
      <c r="S221" s="578">
        <v>0</v>
      </c>
      <c r="T221" s="578">
        <v>0</v>
      </c>
      <c r="U221" s="578">
        <v>981.84</v>
      </c>
      <c r="V221" s="578">
        <v>0</v>
      </c>
      <c r="W221" s="578"/>
      <c r="X221" s="578">
        <v>0</v>
      </c>
      <c r="Y221" s="578">
        <v>0</v>
      </c>
      <c r="Z221" s="578">
        <v>0</v>
      </c>
      <c r="AA221" s="578">
        <v>0</v>
      </c>
      <c r="AB221" s="578">
        <v>18843.009999999998</v>
      </c>
      <c r="AC221" s="578">
        <v>12660</v>
      </c>
      <c r="AD221" s="578">
        <v>70315</v>
      </c>
      <c r="AE221" s="578">
        <v>1030100.86</v>
      </c>
      <c r="AF221" s="578">
        <v>9076.74</v>
      </c>
      <c r="AG221" s="578">
        <v>390215.55</v>
      </c>
      <c r="AH221" s="578">
        <v>76456.009999999995</v>
      </c>
      <c r="AI221" s="578">
        <v>237866.51</v>
      </c>
      <c r="AJ221" s="578">
        <v>47478.78</v>
      </c>
      <c r="AK221" s="578">
        <v>83879.06</v>
      </c>
      <c r="AL221" s="578">
        <v>4460.74</v>
      </c>
      <c r="AM221" s="578">
        <v>1651.66</v>
      </c>
      <c r="AN221" s="578">
        <v>0</v>
      </c>
      <c r="AO221" s="578">
        <v>0</v>
      </c>
      <c r="AP221" s="578">
        <v>10496.45</v>
      </c>
      <c r="AQ221" s="578">
        <v>4976.1000000000004</v>
      </c>
      <c r="AR221" s="578">
        <v>3013.38</v>
      </c>
      <c r="AS221" s="578">
        <v>93.31</v>
      </c>
      <c r="AT221" s="578">
        <v>30284.87</v>
      </c>
      <c r="AU221" s="578">
        <v>33189.120000000003</v>
      </c>
      <c r="AV221" s="578">
        <v>6421.12</v>
      </c>
      <c r="AW221" s="578">
        <v>68549.19</v>
      </c>
      <c r="AX221" s="578">
        <v>7717.65</v>
      </c>
      <c r="AY221" s="578">
        <v>0</v>
      </c>
      <c r="AZ221" s="578">
        <v>227451.4</v>
      </c>
      <c r="BA221" s="578">
        <v>8200</v>
      </c>
      <c r="BB221" s="578">
        <v>0</v>
      </c>
      <c r="BC221" s="578">
        <v>27220.92</v>
      </c>
      <c r="BD221" s="578">
        <v>12954.52</v>
      </c>
      <c r="BE221" s="578">
        <v>1246.7</v>
      </c>
      <c r="BF221" s="578">
        <v>73281.86</v>
      </c>
      <c r="BG221" s="578">
        <v>0</v>
      </c>
      <c r="BH221" s="578">
        <v>0</v>
      </c>
      <c r="BI221" s="578">
        <v>24943.200000000001</v>
      </c>
      <c r="BJ221" s="578">
        <v>0</v>
      </c>
      <c r="BK221" s="578">
        <v>0</v>
      </c>
      <c r="BL221" s="578">
        <v>8801.5</v>
      </c>
      <c r="BM221" s="578">
        <v>0</v>
      </c>
      <c r="BN221" s="578">
        <v>0</v>
      </c>
      <c r="BO221" s="578">
        <v>10000</v>
      </c>
      <c r="BP221" s="578">
        <v>0</v>
      </c>
      <c r="BQ221" s="578">
        <v>0</v>
      </c>
      <c r="BR221" s="578">
        <v>0</v>
      </c>
      <c r="BS221" s="578">
        <v>0</v>
      </c>
      <c r="BT221" s="578">
        <v>0</v>
      </c>
      <c r="BU221" s="578">
        <v>541935.71</v>
      </c>
      <c r="BV221" s="578">
        <v>38323.379999999997</v>
      </c>
      <c r="BW221" s="578">
        <v>0</v>
      </c>
      <c r="BX221" s="578">
        <v>0</v>
      </c>
      <c r="BY221" s="578">
        <v>0</v>
      </c>
      <c r="BZ221" s="578">
        <v>2320186.8199999998</v>
      </c>
      <c r="CA221" s="578">
        <v>2421225.7000000002</v>
      </c>
      <c r="CB221" s="578">
        <v>8801.5</v>
      </c>
      <c r="CC221" s="578">
        <v>0</v>
      </c>
      <c r="CD221" s="578">
        <v>580259.09</v>
      </c>
    </row>
    <row r="222" spans="1:82" hidden="1" x14ac:dyDescent="0.3">
      <c r="A222" s="574" t="s">
        <v>1807</v>
      </c>
      <c r="B222" s="577">
        <v>3302300</v>
      </c>
      <c r="C222" s="574">
        <f>_xlfn.XLOOKUP(B222,'[1]Blade-Export_15-08-2022_sources'!B:B,'[1]Blade-Export_15-08-2022_sources'!F:F,0,FALSE)</f>
        <v>330</v>
      </c>
      <c r="D222" s="574">
        <f>_xlfn.XLOOKUP($B222,'[1]Blade-Export_15-08-2022_sources'!$B:$B,'[1]Blade-Export_15-08-2022_sources'!G:G,0,FALSE)</f>
        <v>2300</v>
      </c>
      <c r="E222" s="574" t="str">
        <f>_xlfn.XLOOKUP($B222,'[1]Blade-Export_15-08-2022_sources'!$B:$B,'[1]Blade-Export_15-08-2022_sources'!H:H,0,FALSE)</f>
        <v>ARDEN JI NC</v>
      </c>
      <c r="F222" s="578">
        <v>395393.18</v>
      </c>
      <c r="G222" s="578">
        <v>0</v>
      </c>
      <c r="H222" s="578">
        <v>991.3</v>
      </c>
      <c r="I222" s="578">
        <v>3256494.15</v>
      </c>
      <c r="J222" s="578">
        <v>0</v>
      </c>
      <c r="K222" s="578">
        <v>151225.09</v>
      </c>
      <c r="L222" s="578">
        <v>0</v>
      </c>
      <c r="M222" s="578">
        <v>332215</v>
      </c>
      <c r="N222" s="578">
        <v>7678.13</v>
      </c>
      <c r="O222" s="578">
        <v>0</v>
      </c>
      <c r="P222" s="578">
        <v>52240.62</v>
      </c>
      <c r="Q222" s="578">
        <v>445.25</v>
      </c>
      <c r="R222" s="578">
        <v>0</v>
      </c>
      <c r="S222" s="578">
        <v>0</v>
      </c>
      <c r="T222" s="578">
        <v>0</v>
      </c>
      <c r="U222" s="578">
        <v>1083.6500000000001</v>
      </c>
      <c r="V222" s="578">
        <v>0</v>
      </c>
      <c r="W222" s="578"/>
      <c r="X222" s="578">
        <v>0</v>
      </c>
      <c r="Y222" s="578">
        <v>0</v>
      </c>
      <c r="Z222" s="578">
        <v>0</v>
      </c>
      <c r="AA222" s="578">
        <v>0</v>
      </c>
      <c r="AB222" s="578">
        <v>25585.63</v>
      </c>
      <c r="AC222" s="578">
        <v>21000</v>
      </c>
      <c r="AD222" s="578">
        <v>91673</v>
      </c>
      <c r="AE222" s="578">
        <v>1679474.84</v>
      </c>
      <c r="AF222" s="578">
        <v>0</v>
      </c>
      <c r="AG222" s="578">
        <v>836795.28</v>
      </c>
      <c r="AH222" s="578">
        <v>3153.06</v>
      </c>
      <c r="AI222" s="578">
        <v>209318.22</v>
      </c>
      <c r="AJ222" s="578">
        <v>97174.75</v>
      </c>
      <c r="AK222" s="578">
        <v>176182.06</v>
      </c>
      <c r="AL222" s="578">
        <v>3300.8</v>
      </c>
      <c r="AM222" s="578">
        <v>460</v>
      </c>
      <c r="AN222" s="578">
        <v>0</v>
      </c>
      <c r="AO222" s="578">
        <v>0</v>
      </c>
      <c r="AP222" s="578">
        <v>0</v>
      </c>
      <c r="AQ222" s="578">
        <v>1350</v>
      </c>
      <c r="AR222" s="578">
        <v>1452.89</v>
      </c>
      <c r="AS222" s="578">
        <v>16257.63</v>
      </c>
      <c r="AT222" s="578">
        <v>56875.34</v>
      </c>
      <c r="AU222" s="578">
        <v>73646.83</v>
      </c>
      <c r="AV222" s="578">
        <v>7392.82</v>
      </c>
      <c r="AW222" s="578">
        <v>294039.59000000003</v>
      </c>
      <c r="AX222" s="578">
        <v>12289.27</v>
      </c>
      <c r="AY222" s="578">
        <v>0</v>
      </c>
      <c r="AZ222" s="578">
        <v>293506.01</v>
      </c>
      <c r="BA222" s="578">
        <v>16230</v>
      </c>
      <c r="BB222" s="578">
        <v>0</v>
      </c>
      <c r="BC222" s="578">
        <v>641.38</v>
      </c>
      <c r="BD222" s="578">
        <v>112170.12</v>
      </c>
      <c r="BE222" s="578">
        <v>323</v>
      </c>
      <c r="BF222" s="578">
        <v>114601.39</v>
      </c>
      <c r="BG222" s="578">
        <v>0</v>
      </c>
      <c r="BH222" s="578">
        <v>0</v>
      </c>
      <c r="BI222" s="578">
        <v>9913.9500000000007</v>
      </c>
      <c r="BJ222" s="578">
        <v>0</v>
      </c>
      <c r="BK222" s="578">
        <v>0</v>
      </c>
      <c r="BL222" s="578">
        <v>11593.75</v>
      </c>
      <c r="BM222" s="578">
        <v>0</v>
      </c>
      <c r="BN222" s="578">
        <v>0</v>
      </c>
      <c r="BO222" s="578">
        <v>10000</v>
      </c>
      <c r="BP222" s="578">
        <v>0</v>
      </c>
      <c r="BQ222" s="578">
        <v>7740</v>
      </c>
      <c r="BR222" s="578">
        <v>0</v>
      </c>
      <c r="BS222" s="578">
        <v>0</v>
      </c>
      <c r="BT222" s="578">
        <v>0</v>
      </c>
      <c r="BU222" s="578">
        <v>318484.46000000002</v>
      </c>
      <c r="BV222" s="578">
        <v>4845.05</v>
      </c>
      <c r="BW222" s="578">
        <v>0</v>
      </c>
      <c r="BX222" s="578">
        <v>0</v>
      </c>
      <c r="BY222" s="578">
        <v>0</v>
      </c>
      <c r="BZ222" s="578">
        <v>3939640.52</v>
      </c>
      <c r="CA222" s="578">
        <v>4016549.23</v>
      </c>
      <c r="CB222" s="578">
        <v>11593.75</v>
      </c>
      <c r="CC222" s="578">
        <v>7740</v>
      </c>
      <c r="CD222" s="578">
        <v>323329.51</v>
      </c>
    </row>
    <row r="223" spans="1:82" hidden="1" x14ac:dyDescent="0.3">
      <c r="A223" s="574" t="s">
        <v>1808</v>
      </c>
      <c r="B223" s="577">
        <v>3302479</v>
      </c>
      <c r="C223" s="574">
        <f>_xlfn.XLOOKUP(B223,'[1]Blade-Export_15-08-2022_sources'!B:B,'[1]Blade-Export_15-08-2022_sources'!F:F,0,FALSE)</f>
        <v>330</v>
      </c>
      <c r="D223" s="574">
        <f>_xlfn.XLOOKUP($B223,'[1]Blade-Export_15-08-2022_sources'!$B:$B,'[1]Blade-Export_15-08-2022_sources'!G:G,0,FALSE)</f>
        <v>2479</v>
      </c>
      <c r="E223" s="574" t="str">
        <f>_xlfn.XLOOKUP($B223,'[1]Blade-Export_15-08-2022_sources'!$B:$B,'[1]Blade-Export_15-08-2022_sources'!H:H,0,FALSE)</f>
        <v>ANGLESEY JI NC</v>
      </c>
      <c r="F223" s="578">
        <v>747516.87</v>
      </c>
      <c r="G223" s="578">
        <v>0</v>
      </c>
      <c r="H223" s="578">
        <v>0</v>
      </c>
      <c r="I223" s="578">
        <v>3597648.74</v>
      </c>
      <c r="J223" s="578">
        <v>0</v>
      </c>
      <c r="K223" s="578">
        <v>85237.96</v>
      </c>
      <c r="L223" s="578">
        <v>0</v>
      </c>
      <c r="M223" s="578">
        <v>390050</v>
      </c>
      <c r="N223" s="578">
        <v>9226.8799999999992</v>
      </c>
      <c r="O223" s="578">
        <v>0</v>
      </c>
      <c r="P223" s="578">
        <v>18268.14</v>
      </c>
      <c r="Q223" s="578">
        <v>794.29</v>
      </c>
      <c r="R223" s="578">
        <v>0</v>
      </c>
      <c r="S223" s="578">
        <v>0</v>
      </c>
      <c r="T223" s="578">
        <v>0</v>
      </c>
      <c r="U223" s="578">
        <v>4409.3500000000004</v>
      </c>
      <c r="V223" s="578">
        <v>0</v>
      </c>
      <c r="W223" s="578"/>
      <c r="X223" s="578">
        <v>0</v>
      </c>
      <c r="Y223" s="578">
        <v>0</v>
      </c>
      <c r="Z223" s="578">
        <v>0</v>
      </c>
      <c r="AA223" s="578">
        <v>0</v>
      </c>
      <c r="AB223" s="578">
        <v>30448.75</v>
      </c>
      <c r="AC223" s="578">
        <v>22900</v>
      </c>
      <c r="AD223" s="578">
        <v>78946</v>
      </c>
      <c r="AE223" s="578">
        <v>1934626.06</v>
      </c>
      <c r="AF223" s="578">
        <v>0</v>
      </c>
      <c r="AG223" s="578">
        <v>749922.96</v>
      </c>
      <c r="AH223" s="578">
        <v>31979.55</v>
      </c>
      <c r="AI223" s="578">
        <v>351082.55</v>
      </c>
      <c r="AJ223" s="578">
        <v>0</v>
      </c>
      <c r="AK223" s="578">
        <v>141563.70000000001</v>
      </c>
      <c r="AL223" s="578">
        <v>5291.74</v>
      </c>
      <c r="AM223" s="578">
        <v>10748.21</v>
      </c>
      <c r="AN223" s="578">
        <v>0</v>
      </c>
      <c r="AO223" s="578">
        <v>0</v>
      </c>
      <c r="AP223" s="578">
        <v>65857.62</v>
      </c>
      <c r="AQ223" s="578">
        <v>3280.5</v>
      </c>
      <c r="AR223" s="578">
        <v>87323.36</v>
      </c>
      <c r="AS223" s="578">
        <v>25394.92</v>
      </c>
      <c r="AT223" s="578">
        <v>107148.77</v>
      </c>
      <c r="AU223" s="578">
        <v>45727.75</v>
      </c>
      <c r="AV223" s="578">
        <v>19783.400000000001</v>
      </c>
      <c r="AW223" s="578">
        <v>103721.17</v>
      </c>
      <c r="AX223" s="578">
        <v>34199.300000000003</v>
      </c>
      <c r="AY223" s="578">
        <v>0</v>
      </c>
      <c r="AZ223" s="578">
        <v>38280.19</v>
      </c>
      <c r="BA223" s="578">
        <v>16230</v>
      </c>
      <c r="BB223" s="578">
        <v>0</v>
      </c>
      <c r="BC223" s="578">
        <v>120806.68</v>
      </c>
      <c r="BD223" s="578">
        <v>211146.9</v>
      </c>
      <c r="BE223" s="578">
        <v>412.68</v>
      </c>
      <c r="BF223" s="578">
        <v>312775.34000000003</v>
      </c>
      <c r="BG223" s="578">
        <v>0</v>
      </c>
      <c r="BH223" s="578">
        <v>0</v>
      </c>
      <c r="BI223" s="578">
        <v>0</v>
      </c>
      <c r="BJ223" s="578">
        <v>0</v>
      </c>
      <c r="BK223" s="578">
        <v>0</v>
      </c>
      <c r="BL223" s="578">
        <v>12241.75</v>
      </c>
      <c r="BM223" s="578">
        <v>0</v>
      </c>
      <c r="BN223" s="578">
        <v>0</v>
      </c>
      <c r="BO223" s="578">
        <v>10000</v>
      </c>
      <c r="BP223" s="578">
        <v>0</v>
      </c>
      <c r="BQ223" s="578">
        <v>0</v>
      </c>
      <c r="BR223" s="578">
        <v>0</v>
      </c>
      <c r="BS223" s="578">
        <v>0</v>
      </c>
      <c r="BT223" s="578">
        <v>0</v>
      </c>
      <c r="BU223" s="578">
        <v>568143.63</v>
      </c>
      <c r="BV223" s="578">
        <v>12241.75</v>
      </c>
      <c r="BW223" s="578">
        <v>0</v>
      </c>
      <c r="BX223" s="578">
        <v>0</v>
      </c>
      <c r="BY223" s="578">
        <v>0</v>
      </c>
      <c r="BZ223" s="578">
        <v>4237930.1100000003</v>
      </c>
      <c r="CA223" s="578">
        <v>4417303.3499999996</v>
      </c>
      <c r="CB223" s="578">
        <v>12241.75</v>
      </c>
      <c r="CC223" s="578">
        <v>0</v>
      </c>
      <c r="CD223" s="578">
        <v>580385.38</v>
      </c>
    </row>
    <row r="224" spans="1:82" hidden="1" x14ac:dyDescent="0.3">
      <c r="A224" s="574" t="s">
        <v>1809</v>
      </c>
      <c r="B224" s="577">
        <v>3302062</v>
      </c>
      <c r="C224" s="574">
        <f>_xlfn.XLOOKUP(B224,'[1]Blade-Export_15-08-2022_sources'!B:B,'[1]Blade-Export_15-08-2022_sources'!F:F,0,FALSE)</f>
        <v>330</v>
      </c>
      <c r="D224" s="574">
        <f>_xlfn.XLOOKUP($B224,'[1]Blade-Export_15-08-2022_sources'!$B:$B,'[1]Blade-Export_15-08-2022_sources'!G:G,0,FALSE)</f>
        <v>2062</v>
      </c>
      <c r="E224" s="574" t="str">
        <f>_xlfn.XLOOKUP($B224,'[1]Blade-Export_15-08-2022_sources'!$B:$B,'[1]Blade-Export_15-08-2022_sources'!H:H,0,FALSE)</f>
        <v>ANDERTON PARK JI NC</v>
      </c>
      <c r="F224" s="578">
        <v>296024.17</v>
      </c>
      <c r="G224" s="578">
        <v>0</v>
      </c>
      <c r="H224" s="578">
        <v>6878.5</v>
      </c>
      <c r="I224" s="578">
        <v>2316264.5</v>
      </c>
      <c r="J224" s="578">
        <v>0</v>
      </c>
      <c r="K224" s="578">
        <v>15877.19</v>
      </c>
      <c r="L224" s="578">
        <v>0</v>
      </c>
      <c r="M224" s="578">
        <v>278415</v>
      </c>
      <c r="N224" s="578">
        <v>6615</v>
      </c>
      <c r="O224" s="578">
        <v>0</v>
      </c>
      <c r="P224" s="578">
        <v>406804.2</v>
      </c>
      <c r="Q224" s="578">
        <v>414.43</v>
      </c>
      <c r="R224" s="578">
        <v>13226.99</v>
      </c>
      <c r="S224" s="578">
        <v>0</v>
      </c>
      <c r="T224" s="578">
        <v>0</v>
      </c>
      <c r="U224" s="578">
        <v>4493.3500000000004</v>
      </c>
      <c r="V224" s="578">
        <v>0</v>
      </c>
      <c r="W224" s="578"/>
      <c r="X224" s="578">
        <v>0</v>
      </c>
      <c r="Y224" s="578">
        <v>0</v>
      </c>
      <c r="Z224" s="578">
        <v>0</v>
      </c>
      <c r="AA224" s="578">
        <v>0</v>
      </c>
      <c r="AB224" s="578">
        <v>21622.5</v>
      </c>
      <c r="AC224" s="578">
        <v>15260</v>
      </c>
      <c r="AD224" s="578">
        <v>51103.5</v>
      </c>
      <c r="AE224" s="578">
        <v>1176457.97</v>
      </c>
      <c r="AF224" s="578">
        <v>0</v>
      </c>
      <c r="AG224" s="578">
        <v>281148.7</v>
      </c>
      <c r="AH224" s="578">
        <v>185307.26</v>
      </c>
      <c r="AI224" s="578">
        <v>256341.93</v>
      </c>
      <c r="AJ224" s="578">
        <v>1093.8499999999999</v>
      </c>
      <c r="AK224" s="578">
        <v>82271.45</v>
      </c>
      <c r="AL224" s="578">
        <v>3933.27</v>
      </c>
      <c r="AM224" s="578">
        <v>17607.45</v>
      </c>
      <c r="AN224" s="578">
        <v>0</v>
      </c>
      <c r="AO224" s="578">
        <v>0</v>
      </c>
      <c r="AP224" s="578">
        <v>52632.97</v>
      </c>
      <c r="AQ224" s="578">
        <v>0</v>
      </c>
      <c r="AR224" s="578">
        <v>3897.65</v>
      </c>
      <c r="AS224" s="578">
        <v>12002.17</v>
      </c>
      <c r="AT224" s="578">
        <v>58448.45</v>
      </c>
      <c r="AU224" s="578">
        <v>47238.77</v>
      </c>
      <c r="AV224" s="578">
        <v>24163.95</v>
      </c>
      <c r="AW224" s="578">
        <v>103909.54</v>
      </c>
      <c r="AX224" s="578">
        <v>18145.28</v>
      </c>
      <c r="AY224" s="578">
        <v>0</v>
      </c>
      <c r="AZ224" s="578">
        <v>16717.88</v>
      </c>
      <c r="BA224" s="578">
        <v>10880</v>
      </c>
      <c r="BB224" s="578">
        <v>0</v>
      </c>
      <c r="BC224" s="578">
        <v>36826.339999999997</v>
      </c>
      <c r="BD224" s="578">
        <v>115746.19</v>
      </c>
      <c r="BE224" s="578">
        <v>30289.8</v>
      </c>
      <c r="BF224" s="578">
        <v>231288.07</v>
      </c>
      <c r="BG224" s="578">
        <v>0</v>
      </c>
      <c r="BH224" s="578">
        <v>0</v>
      </c>
      <c r="BI224" s="578">
        <v>30965.73</v>
      </c>
      <c r="BJ224" s="578">
        <v>0</v>
      </c>
      <c r="BK224" s="578">
        <v>0</v>
      </c>
      <c r="BL224" s="578">
        <v>9953.5</v>
      </c>
      <c r="BM224" s="578">
        <v>0</v>
      </c>
      <c r="BN224" s="578">
        <v>0</v>
      </c>
      <c r="BO224" s="578">
        <v>10000</v>
      </c>
      <c r="BP224" s="578">
        <v>0</v>
      </c>
      <c r="BQ224" s="578">
        <v>0</v>
      </c>
      <c r="BR224" s="578">
        <v>0</v>
      </c>
      <c r="BS224" s="578">
        <v>0</v>
      </c>
      <c r="BT224" s="578">
        <v>0</v>
      </c>
      <c r="BU224" s="578">
        <v>628806.16</v>
      </c>
      <c r="BV224" s="578">
        <v>16832</v>
      </c>
      <c r="BW224" s="578">
        <v>0</v>
      </c>
      <c r="BX224" s="578">
        <v>0</v>
      </c>
      <c r="BY224" s="578">
        <v>0</v>
      </c>
      <c r="BZ224" s="578">
        <v>3130096.66</v>
      </c>
      <c r="CA224" s="578">
        <v>2797314.67</v>
      </c>
      <c r="CB224" s="578">
        <v>9953.5</v>
      </c>
      <c r="CC224" s="578">
        <v>0</v>
      </c>
      <c r="CD224" s="578">
        <v>645638.16</v>
      </c>
    </row>
    <row r="225" spans="1:82" hidden="1" x14ac:dyDescent="0.3">
      <c r="A225" s="574" t="s">
        <v>1810</v>
      </c>
      <c r="B225" s="577">
        <v>3302153</v>
      </c>
      <c r="C225" s="574">
        <f>_xlfn.XLOOKUP(B225,'[1]Blade-Export_15-08-2022_sources'!B:B,'[1]Blade-Export_15-08-2022_sources'!F:F,0,FALSE)</f>
        <v>330</v>
      </c>
      <c r="D225" s="574">
        <f>_xlfn.XLOOKUP($B225,'[1]Blade-Export_15-08-2022_sources'!$B:$B,'[1]Blade-Export_15-08-2022_sources'!G:G,0,FALSE)</f>
        <v>2153</v>
      </c>
      <c r="E225" s="574" t="str">
        <f>_xlfn.XLOOKUP($B225,'[1]Blade-Export_15-08-2022_sources'!$B:$B,'[1]Blade-Export_15-08-2022_sources'!H:H,0,FALSE)</f>
        <v xml:space="preserve">ALLENS CROFT JI </v>
      </c>
      <c r="F225" s="578">
        <v>798957.42</v>
      </c>
      <c r="G225" s="578">
        <v>0</v>
      </c>
      <c r="H225" s="578">
        <v>44937.21</v>
      </c>
      <c r="I225" s="578">
        <v>2135273.9900000002</v>
      </c>
      <c r="J225" s="578">
        <v>0</v>
      </c>
      <c r="K225" s="578">
        <v>237344.11</v>
      </c>
      <c r="L225" s="578">
        <v>0</v>
      </c>
      <c r="M225" s="578">
        <v>301210</v>
      </c>
      <c r="N225" s="578">
        <v>6733.13</v>
      </c>
      <c r="O225" s="578">
        <v>0</v>
      </c>
      <c r="P225" s="578">
        <v>65158.29</v>
      </c>
      <c r="Q225" s="578">
        <v>1118.54</v>
      </c>
      <c r="R225" s="578">
        <v>3893.61</v>
      </c>
      <c r="S225" s="578">
        <v>0</v>
      </c>
      <c r="T225" s="578">
        <v>0</v>
      </c>
      <c r="U225" s="578">
        <v>5678.15</v>
      </c>
      <c r="V225" s="578">
        <v>0</v>
      </c>
      <c r="W225" s="578"/>
      <c r="X225" s="578">
        <v>0</v>
      </c>
      <c r="Y225" s="578">
        <v>0</v>
      </c>
      <c r="Z225" s="578">
        <v>0</v>
      </c>
      <c r="AA225" s="578">
        <v>0</v>
      </c>
      <c r="AB225" s="578">
        <v>22538.13</v>
      </c>
      <c r="AC225" s="578">
        <v>13460</v>
      </c>
      <c r="AD225" s="578">
        <v>58632</v>
      </c>
      <c r="AE225" s="578">
        <v>1198266.02</v>
      </c>
      <c r="AF225" s="578">
        <v>0</v>
      </c>
      <c r="AG225" s="578">
        <v>540140.80000000005</v>
      </c>
      <c r="AH225" s="578">
        <v>0</v>
      </c>
      <c r="AI225" s="578">
        <v>226061.16</v>
      </c>
      <c r="AJ225" s="578">
        <v>35788.050000000003</v>
      </c>
      <c r="AK225" s="578">
        <v>110818.12</v>
      </c>
      <c r="AL225" s="578">
        <v>1900.7</v>
      </c>
      <c r="AM225" s="578">
        <v>14338</v>
      </c>
      <c r="AN225" s="578">
        <v>0</v>
      </c>
      <c r="AO225" s="578">
        <v>0</v>
      </c>
      <c r="AP225" s="578">
        <v>44729.64</v>
      </c>
      <c r="AQ225" s="578">
        <v>3637</v>
      </c>
      <c r="AR225" s="578">
        <v>25112.400000000001</v>
      </c>
      <c r="AS225" s="578">
        <v>0</v>
      </c>
      <c r="AT225" s="578">
        <v>11681.23</v>
      </c>
      <c r="AU225" s="578">
        <v>23988.79</v>
      </c>
      <c r="AV225" s="578">
        <v>6491.3</v>
      </c>
      <c r="AW225" s="578">
        <v>95012.88</v>
      </c>
      <c r="AX225" s="578">
        <v>25187.99</v>
      </c>
      <c r="AY225" s="578">
        <v>0</v>
      </c>
      <c r="AZ225" s="578">
        <v>111066.25</v>
      </c>
      <c r="BA225" s="578">
        <v>8200</v>
      </c>
      <c r="BB225" s="578">
        <v>0</v>
      </c>
      <c r="BC225" s="578">
        <v>48162.2</v>
      </c>
      <c r="BD225" s="578">
        <v>57187.28</v>
      </c>
      <c r="BE225" s="578">
        <v>0</v>
      </c>
      <c r="BF225" s="578">
        <v>201347.53</v>
      </c>
      <c r="BG225" s="578">
        <v>0</v>
      </c>
      <c r="BH225" s="578">
        <v>0</v>
      </c>
      <c r="BI225" s="578">
        <v>0</v>
      </c>
      <c r="BJ225" s="578">
        <v>0</v>
      </c>
      <c r="BK225" s="578">
        <v>0</v>
      </c>
      <c r="BL225" s="578">
        <v>8173.75</v>
      </c>
      <c r="BM225" s="578">
        <v>0</v>
      </c>
      <c r="BN225" s="578">
        <v>0</v>
      </c>
      <c r="BO225" s="578">
        <v>10000</v>
      </c>
      <c r="BP225" s="578">
        <v>0</v>
      </c>
      <c r="BQ225" s="578">
        <v>40650</v>
      </c>
      <c r="BR225" s="578">
        <v>0</v>
      </c>
      <c r="BS225" s="578">
        <v>0</v>
      </c>
      <c r="BT225" s="578">
        <v>0</v>
      </c>
      <c r="BU225" s="578">
        <v>860880.02</v>
      </c>
      <c r="BV225" s="578">
        <v>12460.96</v>
      </c>
      <c r="BW225" s="578">
        <v>0</v>
      </c>
      <c r="BX225" s="578">
        <v>0</v>
      </c>
      <c r="BY225" s="578">
        <v>0</v>
      </c>
      <c r="BZ225" s="578">
        <v>2851039.95</v>
      </c>
      <c r="CA225" s="578">
        <v>2789117.34</v>
      </c>
      <c r="CB225" s="578">
        <v>8173.75</v>
      </c>
      <c r="CC225" s="578">
        <v>40650</v>
      </c>
      <c r="CD225" s="578">
        <v>873340.98</v>
      </c>
    </row>
    <row r="226" spans="1:82" hidden="1" x14ac:dyDescent="0.3">
      <c r="A226" s="574" t="s">
        <v>1811</v>
      </c>
      <c r="B226" s="577">
        <v>3301017</v>
      </c>
      <c r="C226" s="574">
        <f>_xlfn.XLOOKUP(B226,'[1]Blade-Export_15-08-2022_sources'!B:B,'[1]Blade-Export_15-08-2022_sources'!F:F,0,FALSE)</f>
        <v>330</v>
      </c>
      <c r="D226" s="574">
        <f>_xlfn.XLOOKUP($B226,'[1]Blade-Export_15-08-2022_sources'!$B:$B,'[1]Blade-Export_15-08-2022_sources'!G:G,0,FALSE)</f>
        <v>1017</v>
      </c>
      <c r="E226" s="574" t="str">
        <f>_xlfn.XLOOKUP($B226,'[1]Blade-Export_15-08-2022_sources'!$B:$B,'[1]Blade-Export_15-08-2022_sources'!H:H,0,FALSE)</f>
        <v>ALLENS CROFT Nurs</v>
      </c>
      <c r="F226" s="578">
        <v>125137.24</v>
      </c>
      <c r="G226" s="578">
        <v>0</v>
      </c>
      <c r="H226" s="578">
        <v>14488.46</v>
      </c>
      <c r="I226" s="578">
        <v>882862.79</v>
      </c>
      <c r="J226" s="578">
        <v>0</v>
      </c>
      <c r="K226" s="578">
        <v>126424.76</v>
      </c>
      <c r="L226" s="578">
        <v>0</v>
      </c>
      <c r="M226" s="578">
        <v>0</v>
      </c>
      <c r="N226" s="578">
        <v>0</v>
      </c>
      <c r="O226" s="578">
        <v>0</v>
      </c>
      <c r="P226" s="578">
        <v>506085.1</v>
      </c>
      <c r="Q226" s="578">
        <v>0</v>
      </c>
      <c r="R226" s="578">
        <v>2328.9899999999998</v>
      </c>
      <c r="S226" s="578">
        <v>0</v>
      </c>
      <c r="T226" s="578">
        <v>0</v>
      </c>
      <c r="U226" s="578">
        <v>88088.960000000006</v>
      </c>
      <c r="V226" s="578">
        <v>0</v>
      </c>
      <c r="W226" s="578"/>
      <c r="X226" s="578">
        <v>0</v>
      </c>
      <c r="Y226" s="578">
        <v>0</v>
      </c>
      <c r="Z226" s="578">
        <v>0</v>
      </c>
      <c r="AA226" s="578">
        <v>0</v>
      </c>
      <c r="AB226" s="578">
        <v>0</v>
      </c>
      <c r="AC226" s="578">
        <v>0</v>
      </c>
      <c r="AD226" s="578">
        <v>0</v>
      </c>
      <c r="AE226" s="578">
        <v>268844.87</v>
      </c>
      <c r="AF226" s="578">
        <v>0</v>
      </c>
      <c r="AG226" s="578">
        <v>550309.47</v>
      </c>
      <c r="AH226" s="578">
        <v>0</v>
      </c>
      <c r="AI226" s="578">
        <v>166820.45000000001</v>
      </c>
      <c r="AJ226" s="578">
        <v>0</v>
      </c>
      <c r="AK226" s="578">
        <v>0</v>
      </c>
      <c r="AL226" s="578">
        <v>0</v>
      </c>
      <c r="AM226" s="578">
        <v>0</v>
      </c>
      <c r="AN226" s="578">
        <v>0</v>
      </c>
      <c r="AO226" s="578">
        <v>0</v>
      </c>
      <c r="AP226" s="578">
        <v>0</v>
      </c>
      <c r="AQ226" s="578">
        <v>0</v>
      </c>
      <c r="AR226" s="578">
        <v>0</v>
      </c>
      <c r="AS226" s="578">
        <v>13802.22</v>
      </c>
      <c r="AT226" s="578">
        <v>56175.519999999997</v>
      </c>
      <c r="AU226" s="578">
        <v>8386.56</v>
      </c>
      <c r="AV226" s="578">
        <v>2193.08</v>
      </c>
      <c r="AW226" s="578">
        <v>7412.31</v>
      </c>
      <c r="AX226" s="578">
        <v>3660.52</v>
      </c>
      <c r="AY226" s="578">
        <v>0</v>
      </c>
      <c r="AZ226" s="578">
        <v>4500</v>
      </c>
      <c r="BA226" s="578">
        <v>2850</v>
      </c>
      <c r="BB226" s="578">
        <v>0</v>
      </c>
      <c r="BC226" s="578">
        <v>12395.32</v>
      </c>
      <c r="BD226" s="578">
        <v>135487.88</v>
      </c>
      <c r="BE226" s="578">
        <v>0</v>
      </c>
      <c r="BF226" s="578">
        <v>373095.31</v>
      </c>
      <c r="BG226" s="578">
        <v>0</v>
      </c>
      <c r="BH226" s="578">
        <v>121.62</v>
      </c>
      <c r="BI226" s="578">
        <v>0</v>
      </c>
      <c r="BJ226" s="578">
        <v>0</v>
      </c>
      <c r="BK226" s="578">
        <v>0</v>
      </c>
      <c r="BL226" s="578">
        <v>5574.1</v>
      </c>
      <c r="BM226" s="578">
        <v>0</v>
      </c>
      <c r="BN226" s="578">
        <v>0</v>
      </c>
      <c r="BO226" s="578">
        <v>10000</v>
      </c>
      <c r="BP226" s="578">
        <v>0</v>
      </c>
      <c r="BQ226" s="578">
        <v>0</v>
      </c>
      <c r="BR226" s="578">
        <v>0</v>
      </c>
      <c r="BS226" s="578">
        <v>0</v>
      </c>
      <c r="BT226" s="578">
        <v>0</v>
      </c>
      <c r="BU226" s="578">
        <v>124872.71</v>
      </c>
      <c r="BV226" s="578">
        <v>20062.560000000001</v>
      </c>
      <c r="BW226" s="578">
        <v>0</v>
      </c>
      <c r="BX226" s="578">
        <v>0</v>
      </c>
      <c r="BY226" s="578">
        <v>0</v>
      </c>
      <c r="BZ226" s="578">
        <v>1605790.6</v>
      </c>
      <c r="CA226" s="578">
        <v>1606055.13</v>
      </c>
      <c r="CB226" s="578">
        <v>5574.1</v>
      </c>
      <c r="CC226" s="578">
        <v>0</v>
      </c>
      <c r="CD226" s="578">
        <v>144935.26999999999</v>
      </c>
    </row>
    <row r="227" spans="1:82" hidden="1" x14ac:dyDescent="0.3">
      <c r="A227" s="574" t="s">
        <v>1812</v>
      </c>
      <c r="B227" s="577">
        <v>3305949</v>
      </c>
      <c r="C227" s="574">
        <f>_xlfn.XLOOKUP(B227,'[1]Blade-Export_15-08-2022_sources'!B:B,'[1]Blade-Export_15-08-2022_sources'!F:F,0,FALSE)</f>
        <v>330</v>
      </c>
      <c r="D227" s="574">
        <f>_xlfn.XLOOKUP($B227,'[1]Blade-Export_15-08-2022_sources'!$B:$B,'[1]Blade-Export_15-08-2022_sources'!G:G,0,FALSE)</f>
        <v>5949</v>
      </c>
      <c r="E227" s="574" t="str">
        <f>_xlfn.XLOOKUP($B227,'[1]Blade-Export_15-08-2022_sources'!$B:$B,'[1]Blade-Export_15-08-2022_sources'!H:H,0,FALSE)</f>
        <v xml:space="preserve">AL-FURQAN JI </v>
      </c>
      <c r="F227" s="578">
        <v>840639.53</v>
      </c>
      <c r="G227" s="578">
        <v>0</v>
      </c>
      <c r="H227" s="578">
        <v>0</v>
      </c>
      <c r="I227" s="578">
        <v>2791702.75</v>
      </c>
      <c r="J227" s="578">
        <v>0</v>
      </c>
      <c r="K227" s="578">
        <v>51409.24</v>
      </c>
      <c r="L227" s="578">
        <v>0</v>
      </c>
      <c r="M227" s="578">
        <v>243445</v>
      </c>
      <c r="N227" s="578">
        <v>5788.13</v>
      </c>
      <c r="O227" s="578">
        <v>780228.63</v>
      </c>
      <c r="P227" s="578">
        <v>434748.86</v>
      </c>
      <c r="Q227" s="578">
        <v>930.67</v>
      </c>
      <c r="R227" s="578">
        <v>0</v>
      </c>
      <c r="S227" s="578">
        <v>0</v>
      </c>
      <c r="T227" s="578">
        <v>0</v>
      </c>
      <c r="U227" s="578">
        <v>11831.55</v>
      </c>
      <c r="V227" s="578">
        <v>0</v>
      </c>
      <c r="W227" s="578"/>
      <c r="X227" s="578">
        <v>0</v>
      </c>
      <c r="Y227" s="578">
        <v>0</v>
      </c>
      <c r="Z227" s="578">
        <v>0</v>
      </c>
      <c r="AA227" s="578">
        <v>0</v>
      </c>
      <c r="AB227" s="578">
        <v>18910.63</v>
      </c>
      <c r="AC227" s="578">
        <v>20800</v>
      </c>
      <c r="AD227" s="578">
        <v>111089.5</v>
      </c>
      <c r="AE227" s="578">
        <v>1717297.94</v>
      </c>
      <c r="AF227" s="578">
        <v>0</v>
      </c>
      <c r="AG227" s="578">
        <v>364571.89</v>
      </c>
      <c r="AH227" s="578">
        <v>29282.01</v>
      </c>
      <c r="AI227" s="578">
        <v>314146.51</v>
      </c>
      <c r="AJ227" s="578">
        <v>0</v>
      </c>
      <c r="AK227" s="578">
        <v>79510.66</v>
      </c>
      <c r="AL227" s="578">
        <v>3756.85</v>
      </c>
      <c r="AM227" s="578">
        <v>10263.67</v>
      </c>
      <c r="AN227" s="578">
        <v>0</v>
      </c>
      <c r="AO227" s="578">
        <v>0</v>
      </c>
      <c r="AP227" s="578">
        <v>859989.35</v>
      </c>
      <c r="AQ227" s="578">
        <v>175</v>
      </c>
      <c r="AR227" s="578">
        <v>58158.6</v>
      </c>
      <c r="AS227" s="578">
        <v>861.46</v>
      </c>
      <c r="AT227" s="578">
        <v>54230.68</v>
      </c>
      <c r="AU227" s="578">
        <v>6088.51</v>
      </c>
      <c r="AV227" s="578">
        <v>4504.25</v>
      </c>
      <c r="AW227" s="578">
        <v>138253.97</v>
      </c>
      <c r="AX227" s="578">
        <v>0</v>
      </c>
      <c r="AY227" s="578">
        <v>0</v>
      </c>
      <c r="AZ227" s="578">
        <v>87527.3</v>
      </c>
      <c r="BA227" s="578">
        <v>16230</v>
      </c>
      <c r="BB227" s="578">
        <v>0</v>
      </c>
      <c r="BC227" s="578">
        <v>138410.04</v>
      </c>
      <c r="BD227" s="578">
        <v>105384.11</v>
      </c>
      <c r="BE227" s="578">
        <v>0</v>
      </c>
      <c r="BF227" s="578">
        <v>137285.54</v>
      </c>
      <c r="BG227" s="578">
        <v>0</v>
      </c>
      <c r="BH227" s="578">
        <v>0</v>
      </c>
      <c r="BI227" s="578">
        <v>519900.15</v>
      </c>
      <c r="BJ227" s="578">
        <v>0</v>
      </c>
      <c r="BK227" s="578">
        <v>0</v>
      </c>
      <c r="BL227" s="578">
        <v>0</v>
      </c>
      <c r="BM227" s="578">
        <v>0</v>
      </c>
      <c r="BN227" s="578">
        <v>0</v>
      </c>
      <c r="BO227" s="578">
        <v>10000</v>
      </c>
      <c r="BP227" s="578">
        <v>0</v>
      </c>
      <c r="BQ227" s="578">
        <v>0</v>
      </c>
      <c r="BR227" s="578">
        <v>0</v>
      </c>
      <c r="BS227" s="578">
        <v>0</v>
      </c>
      <c r="BT227" s="578">
        <v>0</v>
      </c>
      <c r="BU227" s="578">
        <v>665695.99</v>
      </c>
      <c r="BV227" s="578">
        <v>0</v>
      </c>
      <c r="BW227" s="578">
        <v>0</v>
      </c>
      <c r="BX227" s="578">
        <v>0</v>
      </c>
      <c r="BY227" s="578">
        <v>0</v>
      </c>
      <c r="BZ227" s="578">
        <v>4470884.96</v>
      </c>
      <c r="CA227" s="578">
        <v>4645828.49</v>
      </c>
      <c r="CB227" s="578">
        <v>0</v>
      </c>
      <c r="CC227" s="578">
        <v>0</v>
      </c>
      <c r="CD227" s="578">
        <v>665695.99</v>
      </c>
    </row>
    <row r="228" spans="1:82" hidden="1" x14ac:dyDescent="0.3">
      <c r="A228" s="574" t="s">
        <v>1813</v>
      </c>
      <c r="B228" s="577">
        <v>3302010</v>
      </c>
      <c r="C228" s="574">
        <f>_xlfn.XLOOKUP(B228,'[1]Blade-Export_15-08-2022_sources'!B:B,'[1]Blade-Export_15-08-2022_sources'!F:F,0,FALSE)</f>
        <v>330</v>
      </c>
      <c r="D228" s="574">
        <f>_xlfn.XLOOKUP($B228,'[1]Blade-Export_15-08-2022_sources'!$B:$B,'[1]Blade-Export_15-08-2022_sources'!G:G,0,FALSE)</f>
        <v>2010</v>
      </c>
      <c r="E228" s="574" t="str">
        <f>_xlfn.XLOOKUP($B228,'[1]Blade-Export_15-08-2022_sources'!$B:$B,'[1]Blade-Export_15-08-2022_sources'!H:H,0,FALSE)</f>
        <v xml:space="preserve">ADDERLEY JI </v>
      </c>
      <c r="F228" s="578">
        <v>1114326.3799999999</v>
      </c>
      <c r="G228" s="578">
        <v>0</v>
      </c>
      <c r="H228" s="578">
        <v>87848.3</v>
      </c>
      <c r="I228" s="578">
        <v>2594090.14</v>
      </c>
      <c r="J228" s="578">
        <v>0</v>
      </c>
      <c r="K228" s="578">
        <v>29037.11</v>
      </c>
      <c r="L228" s="578">
        <v>0</v>
      </c>
      <c r="M228" s="578">
        <v>347010</v>
      </c>
      <c r="N228" s="578">
        <v>8445.94</v>
      </c>
      <c r="O228" s="578">
        <v>0</v>
      </c>
      <c r="P228" s="578">
        <v>138081.35999999999</v>
      </c>
      <c r="Q228" s="578">
        <v>0</v>
      </c>
      <c r="R228" s="578">
        <v>30543.57</v>
      </c>
      <c r="S228" s="578">
        <v>0</v>
      </c>
      <c r="T228" s="578">
        <v>0</v>
      </c>
      <c r="U228" s="578">
        <v>18071.09</v>
      </c>
      <c r="V228" s="578">
        <v>0</v>
      </c>
      <c r="W228" s="578"/>
      <c r="X228" s="578">
        <v>0</v>
      </c>
      <c r="Y228" s="578">
        <v>0</v>
      </c>
      <c r="Z228" s="578">
        <v>0</v>
      </c>
      <c r="AA228" s="578">
        <v>0</v>
      </c>
      <c r="AB228" s="578">
        <v>27387.19</v>
      </c>
      <c r="AC228" s="578">
        <v>17350</v>
      </c>
      <c r="AD228" s="578">
        <v>63710</v>
      </c>
      <c r="AE228" s="578">
        <v>1320679.27</v>
      </c>
      <c r="AF228" s="578">
        <v>0</v>
      </c>
      <c r="AG228" s="578">
        <v>322083.28000000003</v>
      </c>
      <c r="AH228" s="578">
        <v>97941.13</v>
      </c>
      <c r="AI228" s="578">
        <v>137357.35999999999</v>
      </c>
      <c r="AJ228" s="578">
        <v>0</v>
      </c>
      <c r="AK228" s="578">
        <v>79407.11</v>
      </c>
      <c r="AL228" s="578">
        <v>2409.8000000000002</v>
      </c>
      <c r="AM228" s="578">
        <v>15077.96</v>
      </c>
      <c r="AN228" s="578">
        <v>0</v>
      </c>
      <c r="AO228" s="578">
        <v>90</v>
      </c>
      <c r="AP228" s="578">
        <v>870815.33</v>
      </c>
      <c r="AQ228" s="578">
        <v>784.57</v>
      </c>
      <c r="AR228" s="578">
        <v>10735.21</v>
      </c>
      <c r="AS228" s="578">
        <v>3986.49</v>
      </c>
      <c r="AT228" s="578">
        <v>30931.45</v>
      </c>
      <c r="AU228" s="578">
        <v>45795.839999999997</v>
      </c>
      <c r="AV228" s="578">
        <v>13168.62</v>
      </c>
      <c r="AW228" s="578">
        <v>205015.14</v>
      </c>
      <c r="AX228" s="578">
        <v>79777.73</v>
      </c>
      <c r="AY228" s="578">
        <v>0</v>
      </c>
      <c r="AZ228" s="578">
        <v>65054.71</v>
      </c>
      <c r="BA228" s="578">
        <v>11822.89</v>
      </c>
      <c r="BB228" s="578">
        <v>0</v>
      </c>
      <c r="BC228" s="578">
        <v>174662.88</v>
      </c>
      <c r="BD228" s="578">
        <v>225579.67</v>
      </c>
      <c r="BE228" s="578">
        <v>26162.07</v>
      </c>
      <c r="BF228" s="578">
        <v>147975.73000000001</v>
      </c>
      <c r="BG228" s="578">
        <v>0</v>
      </c>
      <c r="BH228" s="578">
        <v>366.48</v>
      </c>
      <c r="BI228" s="578">
        <v>0</v>
      </c>
      <c r="BJ228" s="578">
        <v>0</v>
      </c>
      <c r="BK228" s="578">
        <v>0</v>
      </c>
      <c r="BL228" s="578">
        <v>10311.25</v>
      </c>
      <c r="BM228" s="578">
        <v>0</v>
      </c>
      <c r="BN228" s="578">
        <v>0</v>
      </c>
      <c r="BO228" s="578">
        <v>10000</v>
      </c>
      <c r="BP228" s="578">
        <v>0</v>
      </c>
      <c r="BQ228" s="578">
        <v>0</v>
      </c>
      <c r="BR228" s="578">
        <v>0</v>
      </c>
      <c r="BS228" s="578">
        <v>0</v>
      </c>
      <c r="BT228" s="578">
        <v>0</v>
      </c>
      <c r="BU228" s="578">
        <v>500372.06</v>
      </c>
      <c r="BV228" s="578">
        <v>98159.55</v>
      </c>
      <c r="BW228" s="578">
        <v>0</v>
      </c>
      <c r="BX228" s="578">
        <v>0</v>
      </c>
      <c r="BY228" s="578">
        <v>0</v>
      </c>
      <c r="BZ228" s="578">
        <v>3273726.4</v>
      </c>
      <c r="CA228" s="578">
        <v>3887680.72</v>
      </c>
      <c r="CB228" s="578">
        <v>10311.25</v>
      </c>
      <c r="CC228" s="578">
        <v>0</v>
      </c>
      <c r="CD228" s="578">
        <v>598531.61</v>
      </c>
    </row>
    <row r="229" spans="1:82" hidden="1" x14ac:dyDescent="0.3">
      <c r="A229" s="574" t="s">
        <v>1814</v>
      </c>
      <c r="B229" s="577">
        <v>3301027</v>
      </c>
      <c r="C229" s="574">
        <f>_xlfn.XLOOKUP(B229,'[1]Blade-Export_15-08-2022_sources'!B:B,'[1]Blade-Export_15-08-2022_sources'!F:F,0,FALSE)</f>
        <v>330</v>
      </c>
      <c r="D229" s="574">
        <f>_xlfn.XLOOKUP($B229,'[1]Blade-Export_15-08-2022_sources'!$B:$B,'[1]Blade-Export_15-08-2022_sources'!G:G,0,FALSE)</f>
        <v>1027</v>
      </c>
      <c r="E229" s="574" t="str">
        <f>_xlfn.XLOOKUP($B229,'[1]Blade-Export_15-08-2022_sources'!$B:$B,'[1]Blade-Export_15-08-2022_sources'!H:H,0,FALSE)</f>
        <v>ADDERLEY Nurs</v>
      </c>
      <c r="F229" s="578">
        <v>-259706.49</v>
      </c>
      <c r="G229" s="578">
        <v>0</v>
      </c>
      <c r="H229" s="578">
        <v>0.95</v>
      </c>
      <c r="I229" s="578">
        <v>566548.47</v>
      </c>
      <c r="J229" s="578">
        <v>0</v>
      </c>
      <c r="K229" s="578">
        <v>4175</v>
      </c>
      <c r="L229" s="578">
        <v>0</v>
      </c>
      <c r="M229" s="578">
        <v>0</v>
      </c>
      <c r="N229" s="578">
        <v>0</v>
      </c>
      <c r="O229" s="578">
        <v>0</v>
      </c>
      <c r="P229" s="578">
        <v>64257.91</v>
      </c>
      <c r="Q229" s="578">
        <v>0</v>
      </c>
      <c r="R229" s="578">
        <v>0</v>
      </c>
      <c r="S229" s="578">
        <v>0</v>
      </c>
      <c r="T229" s="578">
        <v>0</v>
      </c>
      <c r="U229" s="578">
        <v>7320.8</v>
      </c>
      <c r="V229" s="578">
        <v>0</v>
      </c>
      <c r="W229" s="578"/>
      <c r="X229" s="578">
        <v>0</v>
      </c>
      <c r="Y229" s="578">
        <v>0</v>
      </c>
      <c r="Z229" s="578">
        <v>0</v>
      </c>
      <c r="AA229" s="578">
        <v>0</v>
      </c>
      <c r="AB229" s="578">
        <v>0</v>
      </c>
      <c r="AC229" s="578">
        <v>0</v>
      </c>
      <c r="AD229" s="578">
        <v>0</v>
      </c>
      <c r="AE229" s="578">
        <v>166795.93</v>
      </c>
      <c r="AF229" s="578">
        <v>0</v>
      </c>
      <c r="AG229" s="578">
        <v>193325.64</v>
      </c>
      <c r="AH229" s="578">
        <v>0</v>
      </c>
      <c r="AI229" s="578">
        <v>51142.84</v>
      </c>
      <c r="AJ229" s="578">
        <v>0</v>
      </c>
      <c r="AK229" s="578">
        <v>11321.4</v>
      </c>
      <c r="AL229" s="578">
        <v>663</v>
      </c>
      <c r="AM229" s="578">
        <v>0</v>
      </c>
      <c r="AN229" s="578">
        <v>0</v>
      </c>
      <c r="AO229" s="578">
        <v>0</v>
      </c>
      <c r="AP229" s="578">
        <v>11599.98</v>
      </c>
      <c r="AQ229" s="578">
        <v>2430</v>
      </c>
      <c r="AR229" s="578">
        <v>21642.35</v>
      </c>
      <c r="AS229" s="578">
        <v>1050.3800000000001</v>
      </c>
      <c r="AT229" s="578">
        <v>10090.94</v>
      </c>
      <c r="AU229" s="578">
        <v>18587.75</v>
      </c>
      <c r="AV229" s="578">
        <v>0</v>
      </c>
      <c r="AW229" s="578">
        <v>18514.41</v>
      </c>
      <c r="AX229" s="578">
        <v>1923.36</v>
      </c>
      <c r="AY229" s="578">
        <v>0</v>
      </c>
      <c r="AZ229" s="578">
        <v>8835.32</v>
      </c>
      <c r="BA229" s="578">
        <v>2850</v>
      </c>
      <c r="BB229" s="578">
        <v>0</v>
      </c>
      <c r="BC229" s="578">
        <v>7341.07</v>
      </c>
      <c r="BD229" s="578">
        <v>6110.2</v>
      </c>
      <c r="BE229" s="578">
        <v>154.37</v>
      </c>
      <c r="BF229" s="578">
        <v>41431.54</v>
      </c>
      <c r="BG229" s="578">
        <v>0</v>
      </c>
      <c r="BH229" s="578">
        <v>0</v>
      </c>
      <c r="BI229" s="578">
        <v>0</v>
      </c>
      <c r="BJ229" s="578">
        <v>0</v>
      </c>
      <c r="BK229" s="578">
        <v>0</v>
      </c>
      <c r="BL229" s="578">
        <v>5113.75</v>
      </c>
      <c r="BM229" s="578">
        <v>0</v>
      </c>
      <c r="BN229" s="578">
        <v>0</v>
      </c>
      <c r="BO229" s="578">
        <v>10000</v>
      </c>
      <c r="BP229" s="578">
        <v>0</v>
      </c>
      <c r="BQ229" s="578">
        <v>0</v>
      </c>
      <c r="BR229" s="578">
        <v>0</v>
      </c>
      <c r="BS229" s="578">
        <v>0</v>
      </c>
      <c r="BT229" s="578">
        <v>0</v>
      </c>
      <c r="BU229" s="578">
        <v>-193214.79</v>
      </c>
      <c r="BV229" s="578">
        <v>5114.7</v>
      </c>
      <c r="BW229" s="578">
        <v>0</v>
      </c>
      <c r="BX229" s="578">
        <v>0</v>
      </c>
      <c r="BY229" s="578">
        <v>0</v>
      </c>
      <c r="BZ229" s="578">
        <v>642302.18000000005</v>
      </c>
      <c r="CA229" s="578">
        <v>575810.48</v>
      </c>
      <c r="CB229" s="578">
        <v>5113.75</v>
      </c>
      <c r="CC229" s="578">
        <v>0</v>
      </c>
      <c r="CD229" s="578">
        <v>-188100.09</v>
      </c>
    </row>
    <row r="230" spans="1:82" hidden="1" x14ac:dyDescent="0.3">
      <c r="A230" s="574" t="s">
        <v>1815</v>
      </c>
      <c r="B230" s="577">
        <v>3303436</v>
      </c>
      <c r="C230" s="574">
        <f>_xlfn.XLOOKUP(B230,'[1]Blade-Export_15-08-2022_sources'!B:B,'[1]Blade-Export_15-08-2022_sources'!F:F,0,FALSE)</f>
        <v>330</v>
      </c>
      <c r="D230" s="574">
        <f>_xlfn.XLOOKUP($B230,'[1]Blade-Export_15-08-2022_sources'!$B:$B,'[1]Blade-Export_15-08-2022_sources'!G:G,0,FALSE)</f>
        <v>3436</v>
      </c>
      <c r="E230" s="574" t="str">
        <f>_xlfn.XLOOKUP($B230,'[1]Blade-Export_15-08-2022_sources'!$B:$B,'[1]Blade-Export_15-08-2022_sources'!H:H,0,FALSE)</f>
        <v>HARPER BELL PRIMARY JI NC</v>
      </c>
      <c r="F230" s="578">
        <v>-709264.9</v>
      </c>
      <c r="G230" s="578">
        <v>0</v>
      </c>
      <c r="H230" s="578">
        <v>0</v>
      </c>
      <c r="I230" s="578">
        <v>909152.59</v>
      </c>
      <c r="J230" s="578">
        <v>0</v>
      </c>
      <c r="K230" s="578">
        <v>3113.33</v>
      </c>
      <c r="L230" s="578">
        <v>0</v>
      </c>
      <c r="M230" s="578">
        <v>120360</v>
      </c>
      <c r="N230" s="578">
        <v>2894.06</v>
      </c>
      <c r="O230" s="578">
        <v>0</v>
      </c>
      <c r="P230" s="578">
        <v>22126.07</v>
      </c>
      <c r="Q230" s="578">
        <v>0</v>
      </c>
      <c r="R230" s="578">
        <v>0</v>
      </c>
      <c r="S230" s="578">
        <v>0</v>
      </c>
      <c r="T230" s="578">
        <v>0</v>
      </c>
      <c r="U230" s="578">
        <v>11012.93</v>
      </c>
      <c r="V230" s="578">
        <v>0</v>
      </c>
      <c r="W230" s="578"/>
      <c r="X230" s="578">
        <v>0</v>
      </c>
      <c r="Y230" s="578">
        <v>0</v>
      </c>
      <c r="Z230" s="578">
        <v>0</v>
      </c>
      <c r="AA230" s="578">
        <v>0</v>
      </c>
      <c r="AB230" s="578">
        <v>10592.19</v>
      </c>
      <c r="AC230" s="578">
        <v>5400</v>
      </c>
      <c r="AD230" s="578">
        <v>27913</v>
      </c>
      <c r="AE230" s="578">
        <v>544734.77</v>
      </c>
      <c r="AF230" s="578">
        <v>0</v>
      </c>
      <c r="AG230" s="578">
        <v>108305.96</v>
      </c>
      <c r="AH230" s="578">
        <v>0</v>
      </c>
      <c r="AI230" s="578">
        <v>172963.8</v>
      </c>
      <c r="AJ230" s="578">
        <v>0</v>
      </c>
      <c r="AK230" s="578">
        <v>55884.6</v>
      </c>
      <c r="AL230" s="578">
        <v>3761.28</v>
      </c>
      <c r="AM230" s="578">
        <v>4739.6499999999996</v>
      </c>
      <c r="AN230" s="578">
        <v>0</v>
      </c>
      <c r="AO230" s="578">
        <v>623.39</v>
      </c>
      <c r="AP230" s="578">
        <v>6906.58</v>
      </c>
      <c r="AQ230" s="578">
        <v>0</v>
      </c>
      <c r="AR230" s="578">
        <v>820.02</v>
      </c>
      <c r="AS230" s="578">
        <v>2275.8000000000002</v>
      </c>
      <c r="AT230" s="578">
        <v>17930.189999999999</v>
      </c>
      <c r="AU230" s="578">
        <v>5042.6899999999996</v>
      </c>
      <c r="AV230" s="578">
        <v>1421</v>
      </c>
      <c r="AW230" s="578">
        <v>70369.55</v>
      </c>
      <c r="AX230" s="578">
        <v>11633.07</v>
      </c>
      <c r="AY230" s="578">
        <v>0</v>
      </c>
      <c r="AZ230" s="578">
        <v>26792.36</v>
      </c>
      <c r="BA230" s="578">
        <v>4450</v>
      </c>
      <c r="BB230" s="578">
        <v>0</v>
      </c>
      <c r="BC230" s="578">
        <v>69154.16</v>
      </c>
      <c r="BD230" s="578">
        <v>43464.1</v>
      </c>
      <c r="BE230" s="578">
        <v>0</v>
      </c>
      <c r="BF230" s="578">
        <v>36346.44</v>
      </c>
      <c r="BG230" s="578">
        <v>0</v>
      </c>
      <c r="BH230" s="578">
        <v>0</v>
      </c>
      <c r="BI230" s="578">
        <v>28775</v>
      </c>
      <c r="BJ230" s="578">
        <v>0</v>
      </c>
      <c r="BK230" s="578">
        <v>0</v>
      </c>
      <c r="BL230" s="578">
        <v>0</v>
      </c>
      <c r="BM230" s="578">
        <v>0</v>
      </c>
      <c r="BN230" s="578">
        <v>0</v>
      </c>
      <c r="BO230" s="578">
        <v>10000</v>
      </c>
      <c r="BP230" s="578">
        <v>0</v>
      </c>
      <c r="BQ230" s="578">
        <v>0</v>
      </c>
      <c r="BR230" s="578">
        <v>0</v>
      </c>
      <c r="BS230" s="578">
        <v>0</v>
      </c>
      <c r="BT230" s="578">
        <v>0</v>
      </c>
      <c r="BU230" s="578">
        <v>-813095.13</v>
      </c>
      <c r="BV230" s="578">
        <v>0</v>
      </c>
      <c r="BW230" s="578">
        <v>0</v>
      </c>
      <c r="BX230" s="578">
        <v>0</v>
      </c>
      <c r="BY230" s="578">
        <v>0</v>
      </c>
      <c r="BZ230" s="578">
        <v>1112564.17</v>
      </c>
      <c r="CA230" s="578">
        <v>1216394.4099999999</v>
      </c>
      <c r="CB230" s="578">
        <v>0</v>
      </c>
      <c r="CC230" s="578">
        <v>0</v>
      </c>
      <c r="CD230" s="578">
        <v>-813095.13</v>
      </c>
    </row>
    <row r="231" spans="1:82" hidden="1" x14ac:dyDescent="0.3">
      <c r="A231" s="574" t="s">
        <v>1816</v>
      </c>
      <c r="B231" s="577">
        <v>3301000</v>
      </c>
      <c r="C231" s="574">
        <f>_xlfn.XLOOKUP(B231,'[1]Blade-Export_15-08-2022_sources'!B:B,'[1]Blade-Export_15-08-2022_sources'!F:F,0,FALSE)</f>
        <v>330</v>
      </c>
      <c r="D231" s="574">
        <f>_xlfn.XLOOKUP($B231,'[1]Blade-Export_15-08-2022_sources'!$B:$B,'[1]Blade-Export_15-08-2022_sources'!G:G,0,FALSE)</f>
        <v>1000</v>
      </c>
      <c r="E231" s="574" t="str">
        <f>_xlfn.XLOOKUP($B231,'[1]Blade-Export_15-08-2022_sources'!$B:$B,'[1]Blade-Export_15-08-2022_sources'!H:H,0,FALSE)</f>
        <v>SELLY OAK Nurs</v>
      </c>
      <c r="F231" s="578">
        <v>54472.59</v>
      </c>
      <c r="G231" s="578">
        <v>0</v>
      </c>
      <c r="H231" s="578">
        <v>7257.79</v>
      </c>
      <c r="I231" s="578">
        <v>426117.46</v>
      </c>
      <c r="J231" s="578">
        <v>0</v>
      </c>
      <c r="K231" s="578">
        <v>2400</v>
      </c>
      <c r="L231" s="578">
        <v>0</v>
      </c>
      <c r="M231" s="578">
        <v>0</v>
      </c>
      <c r="N231" s="578">
        <v>0</v>
      </c>
      <c r="O231" s="578">
        <v>0</v>
      </c>
      <c r="P231" s="578">
        <v>94151.97</v>
      </c>
      <c r="Q231" s="578">
        <v>24.21</v>
      </c>
      <c r="R231" s="578">
        <v>0</v>
      </c>
      <c r="S231" s="578">
        <v>0</v>
      </c>
      <c r="T231" s="578">
        <v>0</v>
      </c>
      <c r="U231" s="578">
        <v>44823.82</v>
      </c>
      <c r="V231" s="578">
        <v>0</v>
      </c>
      <c r="W231" s="578"/>
      <c r="X231" s="578">
        <v>0</v>
      </c>
      <c r="Y231" s="578">
        <v>0</v>
      </c>
      <c r="Z231" s="578">
        <v>0</v>
      </c>
      <c r="AA231" s="578">
        <v>0</v>
      </c>
      <c r="AB231" s="578">
        <v>2484.35</v>
      </c>
      <c r="AC231" s="578">
        <v>0</v>
      </c>
      <c r="AD231" s="578">
        <v>0</v>
      </c>
      <c r="AE231" s="578">
        <v>179234.26</v>
      </c>
      <c r="AF231" s="578">
        <v>0</v>
      </c>
      <c r="AG231" s="578">
        <v>98960.98</v>
      </c>
      <c r="AH231" s="578">
        <v>10474.75</v>
      </c>
      <c r="AI231" s="578">
        <v>90792.84</v>
      </c>
      <c r="AJ231" s="578">
        <v>0</v>
      </c>
      <c r="AK231" s="578">
        <v>71832.69</v>
      </c>
      <c r="AL231" s="578">
        <v>1029.5899999999999</v>
      </c>
      <c r="AM231" s="578">
        <v>96.14</v>
      </c>
      <c r="AN231" s="578">
        <v>0</v>
      </c>
      <c r="AO231" s="578">
        <v>0</v>
      </c>
      <c r="AP231" s="578">
        <v>15276.56</v>
      </c>
      <c r="AQ231" s="578">
        <v>279.35000000000002</v>
      </c>
      <c r="AR231" s="578">
        <v>1218.99</v>
      </c>
      <c r="AS231" s="578">
        <v>2813.52</v>
      </c>
      <c r="AT231" s="578">
        <v>5831.25</v>
      </c>
      <c r="AU231" s="578">
        <v>0</v>
      </c>
      <c r="AV231" s="578">
        <v>1117.8</v>
      </c>
      <c r="AW231" s="578">
        <v>16456.38</v>
      </c>
      <c r="AX231" s="578">
        <v>5173.38</v>
      </c>
      <c r="AY231" s="578">
        <v>0</v>
      </c>
      <c r="AZ231" s="578">
        <v>7680.23</v>
      </c>
      <c r="BA231" s="578">
        <v>2850</v>
      </c>
      <c r="BB231" s="578">
        <v>0</v>
      </c>
      <c r="BC231" s="578">
        <v>5363.7</v>
      </c>
      <c r="BD231" s="578">
        <v>808.71</v>
      </c>
      <c r="BE231" s="578">
        <v>0</v>
      </c>
      <c r="BF231" s="578">
        <v>89864.52</v>
      </c>
      <c r="BG231" s="578">
        <v>0</v>
      </c>
      <c r="BH231" s="578">
        <v>0</v>
      </c>
      <c r="BI231" s="578">
        <v>0</v>
      </c>
      <c r="BJ231" s="578">
        <v>0</v>
      </c>
      <c r="BK231" s="578">
        <v>0</v>
      </c>
      <c r="BL231" s="578">
        <v>4715.5</v>
      </c>
      <c r="BM231" s="578">
        <v>0</v>
      </c>
      <c r="BN231" s="578">
        <v>0</v>
      </c>
      <c r="BO231" s="578">
        <v>10000</v>
      </c>
      <c r="BP231" s="578">
        <v>0</v>
      </c>
      <c r="BQ231" s="578">
        <v>1692.51</v>
      </c>
      <c r="BR231" s="578">
        <v>0</v>
      </c>
      <c r="BS231" s="578">
        <v>0</v>
      </c>
      <c r="BT231" s="578">
        <v>0</v>
      </c>
      <c r="BU231" s="578">
        <v>17318.77</v>
      </c>
      <c r="BV231" s="578">
        <v>10280.780000000001</v>
      </c>
      <c r="BW231" s="578">
        <v>0</v>
      </c>
      <c r="BX231" s="578">
        <v>0</v>
      </c>
      <c r="BY231" s="578">
        <v>0</v>
      </c>
      <c r="BZ231" s="578">
        <v>570001.81000000006</v>
      </c>
      <c r="CA231" s="578">
        <v>607155.64</v>
      </c>
      <c r="CB231" s="578">
        <v>4715.5</v>
      </c>
      <c r="CC231" s="578">
        <v>1692.51</v>
      </c>
      <c r="CD231" s="578">
        <v>27599.55</v>
      </c>
    </row>
  </sheetData>
  <autoFilter ref="B1:CD231" xr:uid="{00000000-0001-0000-0000-000000000000}">
    <filterColumn colId="3">
      <filters>
        <filter val="YARDLEY JI"/>
        <filter val="YARDLEY WOOD JI NC"/>
      </filters>
    </filterColumn>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F375-788B-4B64-ACCF-6B7CFA9EDB85}">
  <dimension ref="A1:AF223"/>
  <sheetViews>
    <sheetView zoomScale="98" zoomScaleNormal="91" workbookViewId="0">
      <pane xSplit="2" ySplit="1" topLeftCell="V2" activePane="bottomRight" state="frozen"/>
      <selection pane="topRight" activeCell="C1" sqref="C1"/>
      <selection pane="bottomLeft" activeCell="A2" sqref="A2"/>
      <selection pane="bottomRight" activeCell="X112" sqref="X112"/>
    </sheetView>
  </sheetViews>
  <sheetFormatPr defaultColWidth="9.21875" defaultRowHeight="14.4" x14ac:dyDescent="0.3"/>
  <cols>
    <col min="1" max="1" width="9.21875" style="100"/>
    <col min="2" max="2" width="32.77734375" style="100" bestFit="1" customWidth="1"/>
    <col min="3" max="3" width="11.44140625" style="100" customWidth="1"/>
    <col min="4" max="4" width="12.77734375" style="100" customWidth="1"/>
    <col min="5" max="5" width="15.5546875" style="100" customWidth="1"/>
    <col min="6" max="6" width="11.44140625" style="100" customWidth="1"/>
    <col min="7" max="7" width="12.77734375" style="100" customWidth="1"/>
    <col min="8" max="10" width="13.21875" style="100" customWidth="1"/>
    <col min="11" max="11" width="14.21875" style="100" customWidth="1"/>
    <col min="12" max="12" width="12.5546875" style="100" customWidth="1"/>
    <col min="13" max="13" width="13.77734375" style="100" customWidth="1"/>
    <col min="14" max="14" width="13.21875" style="100" customWidth="1"/>
    <col min="15" max="15" width="12.77734375" style="100" customWidth="1"/>
    <col min="16" max="18" width="12.5546875" style="100" customWidth="1"/>
    <col min="19" max="19" width="13.5546875" style="100" bestFit="1" customWidth="1"/>
    <col min="20" max="24" width="12.77734375" style="100" customWidth="1"/>
    <col min="25" max="25" width="16.77734375" style="100" customWidth="1"/>
    <col min="26" max="26" width="13.77734375" style="100" customWidth="1"/>
    <col min="27" max="28" width="12.77734375" style="100" customWidth="1"/>
    <col min="29" max="30" width="22.88671875" style="100" customWidth="1"/>
    <col min="31" max="31" width="9.21875" style="100"/>
    <col min="32" max="32" width="3.44140625" style="100" customWidth="1"/>
    <col min="33" max="33" width="8.44140625" style="100" customWidth="1"/>
    <col min="34" max="16384" width="9.21875" style="100"/>
  </cols>
  <sheetData>
    <row r="1" spans="1:32" ht="58.2" thickBot="1" x14ac:dyDescent="0.35">
      <c r="A1" s="142" t="s">
        <v>1103</v>
      </c>
      <c r="B1" s="141" t="s">
        <v>1102</v>
      </c>
      <c r="C1" s="136" t="s">
        <v>1101</v>
      </c>
      <c r="D1" s="140" t="s">
        <v>1100</v>
      </c>
      <c r="E1" s="136" t="s">
        <v>1099</v>
      </c>
      <c r="F1" s="140" t="s">
        <v>1098</v>
      </c>
      <c r="G1" s="136" t="s">
        <v>1097</v>
      </c>
      <c r="H1" s="136" t="s">
        <v>1096</v>
      </c>
      <c r="I1" s="136" t="s">
        <v>1095</v>
      </c>
      <c r="J1" s="136" t="s">
        <v>1094</v>
      </c>
      <c r="K1" s="136" t="s">
        <v>1093</v>
      </c>
      <c r="L1" s="136" t="s">
        <v>1092</v>
      </c>
      <c r="M1" s="136" t="s">
        <v>1091</v>
      </c>
      <c r="N1" s="136" t="s">
        <v>1084</v>
      </c>
      <c r="O1" s="136" t="s">
        <v>1090</v>
      </c>
      <c r="P1" s="138" t="s">
        <v>1089</v>
      </c>
      <c r="Q1" s="138" t="s">
        <v>1088</v>
      </c>
      <c r="R1" s="138" t="s">
        <v>1084</v>
      </c>
      <c r="S1" s="138" t="s">
        <v>1087</v>
      </c>
      <c r="T1" s="137" t="s">
        <v>1086</v>
      </c>
      <c r="U1" s="139" t="s">
        <v>1085</v>
      </c>
      <c r="V1" s="138" t="s">
        <v>1084</v>
      </c>
      <c r="W1" s="138" t="s">
        <v>1083</v>
      </c>
      <c r="X1" s="426" t="s">
        <v>1494</v>
      </c>
      <c r="Y1" s="427" t="s">
        <v>1495</v>
      </c>
      <c r="Z1" s="427" t="s">
        <v>38</v>
      </c>
      <c r="AA1" s="136" t="s">
        <v>1082</v>
      </c>
      <c r="AB1" s="580"/>
    </row>
    <row r="2" spans="1:32" x14ac:dyDescent="0.3">
      <c r="A2" s="100" t="s">
        <v>163</v>
      </c>
      <c r="B2" s="119" t="s">
        <v>1081</v>
      </c>
      <c r="C2" s="101">
        <v>23006.199999999997</v>
      </c>
      <c r="D2" s="101">
        <v>10750</v>
      </c>
      <c r="E2" s="101">
        <v>33756.199999999997</v>
      </c>
      <c r="F2" s="101"/>
      <c r="G2" s="101">
        <v>33756.199999999997</v>
      </c>
      <c r="H2" s="101">
        <v>10761.25</v>
      </c>
      <c r="I2" s="100">
        <v>22292.1</v>
      </c>
      <c r="J2" s="101">
        <v>66809.549999999988</v>
      </c>
      <c r="L2" s="101">
        <v>66809.549999999988</v>
      </c>
      <c r="M2" s="101">
        <v>10671.25</v>
      </c>
      <c r="N2" s="101">
        <v>77480.799999999988</v>
      </c>
      <c r="O2" s="101">
        <v>0</v>
      </c>
      <c r="P2" s="101">
        <v>77480.799999999988</v>
      </c>
      <c r="Q2" s="101" t="e">
        <v>#REF!</v>
      </c>
      <c r="R2" s="101">
        <v>87848.299999999988</v>
      </c>
      <c r="S2" s="101">
        <v>0</v>
      </c>
      <c r="T2" s="101">
        <v>87848.299999999988</v>
      </c>
      <c r="U2" s="101">
        <v>10311.25</v>
      </c>
      <c r="V2" s="101">
        <v>98159.549999999988</v>
      </c>
      <c r="W2" s="101">
        <f>_xlfn.XLOOKUP(A2,Sheet1!A:A,Sheet1!W:W,0,FALSE)</f>
        <v>0</v>
      </c>
      <c r="X2" s="101">
        <f>_xlfn.XLOOKUP(A2,Sheet1!A:A,Sheet1!X:X,0,FALSE)</f>
        <v>98159.549999999988</v>
      </c>
      <c r="Y2" s="101">
        <f>_xlfn.XLOOKUP(A2,Sheet1!A:A,Sheet1!Y:Y,0,FALSE)</f>
        <v>9748.75</v>
      </c>
      <c r="Z2" s="101">
        <f>SUM(X2:Y2)</f>
        <v>107908.29999999999</v>
      </c>
      <c r="AA2" s="101"/>
      <c r="AB2" s="581">
        <f>_xlfn.XLOOKUP(A2,'Carry Forward 2022'!A:A,'Carry Forward 2022'!B:B,0,FALSE)</f>
        <v>2010</v>
      </c>
      <c r="AC2" s="100">
        <f>_xlfn.XLOOKUP(AB2,'Blade-Export_15-08-2022_cfrdata'!D:D,'Blade-Export_15-08-2022_cfrdata'!BV:BV,0,FALSE)</f>
        <v>98159.55</v>
      </c>
      <c r="AD2" s="101">
        <f>X2-AC2</f>
        <v>0</v>
      </c>
      <c r="AE2" s="116"/>
      <c r="AF2" s="100" t="s">
        <v>1080</v>
      </c>
    </row>
    <row r="3" spans="1:32" x14ac:dyDescent="0.3">
      <c r="A3" s="100" t="s">
        <v>167</v>
      </c>
      <c r="B3" s="119" t="s">
        <v>1079</v>
      </c>
      <c r="C3" s="101">
        <v>23560.510000000002</v>
      </c>
      <c r="D3" s="101">
        <v>7251.25</v>
      </c>
      <c r="E3" s="101">
        <v>30811.760000000002</v>
      </c>
      <c r="F3" s="101">
        <v>23188.7</v>
      </c>
      <c r="G3" s="101">
        <v>7623.0600000000013</v>
      </c>
      <c r="H3" s="101">
        <v>7645</v>
      </c>
      <c r="I3" s="100">
        <v>13400.4</v>
      </c>
      <c r="J3" s="101">
        <v>28668.46</v>
      </c>
      <c r="K3" s="100">
        <v>0</v>
      </c>
      <c r="L3" s="101">
        <v>28668.46</v>
      </c>
      <c r="M3" s="101">
        <v>8061.25</v>
      </c>
      <c r="N3" s="101">
        <v>36729.71</v>
      </c>
      <c r="O3" s="101">
        <v>0</v>
      </c>
      <c r="P3" s="101">
        <v>36729.71</v>
      </c>
      <c r="Q3" s="101" t="e">
        <v>#REF!</v>
      </c>
      <c r="R3" s="101">
        <v>44937.21</v>
      </c>
      <c r="S3" s="101">
        <v>0</v>
      </c>
      <c r="T3" s="101">
        <v>44937.21</v>
      </c>
      <c r="U3" s="101">
        <v>8173.75</v>
      </c>
      <c r="V3" s="101">
        <v>53110.96</v>
      </c>
      <c r="W3" s="101">
        <f>_xlfn.XLOOKUP(A3,Sheet1!A:A,Sheet1!W:W,0,FALSE)</f>
        <v>40650</v>
      </c>
      <c r="X3" s="101">
        <f>_xlfn.XLOOKUP(A3,Sheet1!A:A,Sheet1!X:X,0,FALSE)</f>
        <v>12460.96</v>
      </c>
      <c r="Y3" s="101">
        <f>_xlfn.XLOOKUP(A3,Sheet1!A:A,Sheet1!Y:Y,0,FALSE)</f>
        <v>8061.25</v>
      </c>
      <c r="Z3" s="101">
        <f t="shared" ref="Z3:Z66" si="0">SUM(X3:Y3)</f>
        <v>20522.21</v>
      </c>
      <c r="AA3" s="101"/>
      <c r="AB3" s="581">
        <f>_xlfn.XLOOKUP(A3,'Carry Forward 2022'!A:A,'Carry Forward 2022'!B:B,0,FALSE)</f>
        <v>2153</v>
      </c>
      <c r="AC3" s="100">
        <f>_xlfn.XLOOKUP(AB3,'Blade-Export_15-08-2022_cfrdata'!D:D,'Blade-Export_15-08-2022_cfrdata'!BV:BV,0,FALSE)</f>
        <v>12460.96</v>
      </c>
      <c r="AD3" s="101">
        <f t="shared" ref="AD3:AD66" si="1">X3-AC3</f>
        <v>0</v>
      </c>
    </row>
    <row r="4" spans="1:32" x14ac:dyDescent="0.3">
      <c r="A4" s="133" t="s">
        <v>169</v>
      </c>
      <c r="B4" s="135" t="s">
        <v>1078</v>
      </c>
      <c r="C4" s="101">
        <v>0</v>
      </c>
      <c r="D4" s="101">
        <v>11643.25</v>
      </c>
      <c r="E4" s="101">
        <v>11643.25</v>
      </c>
      <c r="F4" s="101"/>
      <c r="G4" s="101">
        <v>11643.25</v>
      </c>
      <c r="H4" s="101">
        <v>12106.75</v>
      </c>
      <c r="I4" s="100">
        <v>26131.26</v>
      </c>
      <c r="J4" s="101">
        <v>49881.259999999995</v>
      </c>
      <c r="K4" s="100">
        <v>11643</v>
      </c>
      <c r="L4" s="101">
        <v>38238.259999999995</v>
      </c>
      <c r="M4" s="101">
        <v>11812</v>
      </c>
      <c r="N4" s="101">
        <v>50050.259999999995</v>
      </c>
      <c r="O4" s="101">
        <v>20232</v>
      </c>
      <c r="P4" s="101">
        <v>29818.259999999995</v>
      </c>
      <c r="Q4" s="101" t="e">
        <v>#REF!</v>
      </c>
      <c r="R4" s="101">
        <v>41090.259999999995</v>
      </c>
      <c r="S4" s="101">
        <v>34211.760000000002</v>
      </c>
      <c r="T4" s="101">
        <v>6878.4999999999927</v>
      </c>
      <c r="U4" s="101">
        <v>9953.5</v>
      </c>
      <c r="V4" s="101">
        <v>16831.999999999993</v>
      </c>
      <c r="W4" s="101">
        <f>_xlfn.XLOOKUP(A4,Sheet1!A:A,Sheet1!W:W,0,FALSE)</f>
        <v>0</v>
      </c>
      <c r="X4" s="101">
        <f>_xlfn.XLOOKUP(A4,Sheet1!A:A,Sheet1!X:X,0,FALSE)</f>
        <v>16831.999999999993</v>
      </c>
      <c r="Y4" s="101">
        <f>_xlfn.XLOOKUP(A4,Sheet1!A:A,Sheet1!Y:Y,0,FALSE)</f>
        <v>9190.75</v>
      </c>
      <c r="Z4" s="101">
        <f t="shared" si="0"/>
        <v>26022.749999999993</v>
      </c>
      <c r="AA4" s="101"/>
      <c r="AB4" s="581">
        <f>_xlfn.XLOOKUP(A4,'Carry Forward 2022'!A:A,'Carry Forward 2022'!B:B,0,FALSE)</f>
        <v>2062</v>
      </c>
      <c r="AC4" s="100">
        <f>_xlfn.XLOOKUP(AB4,'Blade-Export_15-08-2022_cfrdata'!D:D,'Blade-Export_15-08-2022_cfrdata'!BV:BV,0,FALSE)</f>
        <v>16832</v>
      </c>
      <c r="AD4" s="101">
        <f t="shared" si="1"/>
        <v>0</v>
      </c>
    </row>
    <row r="5" spans="1:32" x14ac:dyDescent="0.3">
      <c r="A5" s="100" t="s">
        <v>171</v>
      </c>
      <c r="B5" s="119" t="s">
        <v>1077</v>
      </c>
      <c r="C5" s="101">
        <v>0</v>
      </c>
      <c r="D5" s="101">
        <v>12133.75</v>
      </c>
      <c r="E5" s="101">
        <v>12133.75</v>
      </c>
      <c r="F5" s="101">
        <v>9848</v>
      </c>
      <c r="G5" s="101">
        <v>2285.75</v>
      </c>
      <c r="H5" s="101">
        <v>12160.75</v>
      </c>
      <c r="I5" s="100">
        <v>26285.34</v>
      </c>
      <c r="J5" s="101">
        <v>40731.839999999997</v>
      </c>
      <c r="K5" s="100">
        <v>18702.38</v>
      </c>
      <c r="L5" s="101">
        <v>22029.459999999995</v>
      </c>
      <c r="M5" s="101">
        <v>12487</v>
      </c>
      <c r="N5" s="101">
        <v>34516.459999999992</v>
      </c>
      <c r="O5" s="101">
        <v>38101.040000000001</v>
      </c>
      <c r="P5" s="101">
        <v>-3584.580000000009</v>
      </c>
      <c r="Q5" s="101" t="e">
        <v>#REF!</v>
      </c>
      <c r="R5" s="101">
        <v>8994.669999999991</v>
      </c>
      <c r="S5" s="101">
        <v>8994.67</v>
      </c>
      <c r="T5" s="101">
        <v>0</v>
      </c>
      <c r="U5" s="101">
        <v>12241.75</v>
      </c>
      <c r="V5" s="101">
        <v>12241.75</v>
      </c>
      <c r="W5" s="101">
        <f>_xlfn.XLOOKUP(A5,Sheet1!A:A,Sheet1!W:W,0,FALSE)</f>
        <v>0</v>
      </c>
      <c r="X5" s="101">
        <f>_xlfn.XLOOKUP(A5,Sheet1!A:A,Sheet1!X:X,0,FALSE)</f>
        <v>12241.75</v>
      </c>
      <c r="Y5" s="101">
        <f>_xlfn.XLOOKUP(A5,Sheet1!A:A,Sheet1!Y:Y,0,FALSE)</f>
        <v>12055</v>
      </c>
      <c r="Z5" s="101">
        <f t="shared" si="0"/>
        <v>24296.75</v>
      </c>
      <c r="AA5" s="101"/>
      <c r="AB5" s="581">
        <f>_xlfn.XLOOKUP(A5,'Carry Forward 2022'!A:A,'Carry Forward 2022'!B:B,0,FALSE)</f>
        <v>2479</v>
      </c>
      <c r="AC5" s="100">
        <f>_xlfn.XLOOKUP(AB5,'Blade-Export_15-08-2022_cfrdata'!D:D,'Blade-Export_15-08-2022_cfrdata'!BV:BV,0,FALSE)</f>
        <v>12241.75</v>
      </c>
      <c r="AD5" s="101">
        <f t="shared" si="1"/>
        <v>0</v>
      </c>
    </row>
    <row r="6" spans="1:32" x14ac:dyDescent="0.3">
      <c r="A6" s="100" t="s">
        <v>173</v>
      </c>
      <c r="B6" s="119" t="s">
        <v>1076</v>
      </c>
      <c r="C6" s="101">
        <v>0.30000000000291038</v>
      </c>
      <c r="D6" s="101">
        <v>11587</v>
      </c>
      <c r="E6" s="101">
        <v>11587.300000000003</v>
      </c>
      <c r="F6" s="101"/>
      <c r="G6" s="101">
        <v>11587.300000000003</v>
      </c>
      <c r="H6" s="101">
        <v>11598.25</v>
      </c>
      <c r="I6" s="100">
        <v>24680.34</v>
      </c>
      <c r="J6" s="101">
        <v>47865.89</v>
      </c>
      <c r="K6" s="100">
        <v>0</v>
      </c>
      <c r="L6" s="101">
        <v>47865.89</v>
      </c>
      <c r="M6" s="101">
        <v>11614</v>
      </c>
      <c r="N6" s="101">
        <v>59479.89</v>
      </c>
      <c r="O6" s="101">
        <v>7797.9</v>
      </c>
      <c r="P6" s="101">
        <v>51681.99</v>
      </c>
      <c r="Q6" s="101" t="e">
        <v>#REF!</v>
      </c>
      <c r="R6" s="101">
        <v>63228.49</v>
      </c>
      <c r="S6" s="101">
        <v>62237.19</v>
      </c>
      <c r="T6" s="101">
        <v>991.29999999999563</v>
      </c>
      <c r="U6" s="101">
        <v>11593.75</v>
      </c>
      <c r="V6" s="101">
        <v>12585.049999999996</v>
      </c>
      <c r="W6" s="101">
        <f>_xlfn.XLOOKUP(A6,Sheet1!A:A,Sheet1!W:W,0,FALSE)</f>
        <v>7740</v>
      </c>
      <c r="X6" s="101">
        <f>_xlfn.XLOOKUP(A6,Sheet1!A:A,Sheet1!X:X,0,FALSE)</f>
        <v>4845.0499999999956</v>
      </c>
      <c r="Y6" s="101">
        <f>_xlfn.XLOOKUP(A6,Sheet1!A:A,Sheet1!Y:Y,0,FALSE)</f>
        <v>11531.88</v>
      </c>
      <c r="Z6" s="101">
        <f t="shared" si="0"/>
        <v>16376.929999999995</v>
      </c>
      <c r="AA6" s="101"/>
      <c r="AB6" s="581">
        <f>_xlfn.XLOOKUP(A6,'Carry Forward 2022'!A:A,'Carry Forward 2022'!B:B,0,FALSE)</f>
        <v>2300</v>
      </c>
      <c r="AC6" s="100">
        <f>_xlfn.XLOOKUP(AB6,'Blade-Export_15-08-2022_cfrdata'!D:D,'Blade-Export_15-08-2022_cfrdata'!BV:BV,0,FALSE)</f>
        <v>4845.05</v>
      </c>
      <c r="AD6" s="101">
        <f t="shared" si="1"/>
        <v>0</v>
      </c>
    </row>
    <row r="7" spans="1:32" x14ac:dyDescent="0.3">
      <c r="A7" s="100" t="s">
        <v>1075</v>
      </c>
      <c r="B7" s="100" t="s">
        <v>1074</v>
      </c>
      <c r="C7" s="101">
        <v>2195.8599999999997</v>
      </c>
      <c r="D7" s="101">
        <v>8270.5</v>
      </c>
      <c r="E7" s="101">
        <v>10466.36</v>
      </c>
      <c r="F7" s="101">
        <v>6923.14</v>
      </c>
      <c r="G7" s="101">
        <v>3543.2200000000003</v>
      </c>
      <c r="H7" s="101">
        <v>8599</v>
      </c>
      <c r="I7" s="100">
        <v>16122.48</v>
      </c>
      <c r="J7" s="101">
        <v>28264.7</v>
      </c>
      <c r="K7" s="100">
        <v>0</v>
      </c>
      <c r="L7" s="101">
        <v>28264.7</v>
      </c>
      <c r="M7" s="101">
        <v>8560.75</v>
      </c>
      <c r="N7" s="101">
        <v>36825.449999999997</v>
      </c>
      <c r="O7" s="101">
        <v>36825.199999999997</v>
      </c>
      <c r="P7" s="101">
        <v>0.25</v>
      </c>
      <c r="Q7" s="121"/>
      <c r="R7" s="101">
        <v>0.25</v>
      </c>
      <c r="S7" s="101">
        <v>0</v>
      </c>
      <c r="T7" s="101">
        <v>0.25</v>
      </c>
      <c r="U7" s="101"/>
      <c r="V7" s="101">
        <v>0.25</v>
      </c>
      <c r="W7" s="101">
        <f>_xlfn.XLOOKUP(A7,Sheet1!A:A,Sheet1!W:W,0,FALSE)</f>
        <v>0</v>
      </c>
      <c r="X7" s="101">
        <f>_xlfn.XLOOKUP(A7,Sheet1!A:A,Sheet1!X:X,0,FALSE)</f>
        <v>0.25</v>
      </c>
      <c r="Y7" s="101">
        <f>_xlfn.XLOOKUP(A7,Sheet1!A:A,Sheet1!Y:Y,0,FALSE)</f>
        <v>0</v>
      </c>
      <c r="Z7" s="101">
        <f t="shared" si="0"/>
        <v>0.25</v>
      </c>
      <c r="AA7" s="101"/>
      <c r="AB7" s="581">
        <f>_xlfn.XLOOKUP(A7,'Carry Forward 2022'!A:A,'Carry Forward 2022'!B:B,0,FALSE)</f>
        <v>0</v>
      </c>
      <c r="AC7" s="100">
        <f>_xlfn.XLOOKUP(AB7,'Blade-Export_15-08-2022_cfrdata'!D:D,'Blade-Export_15-08-2022_cfrdata'!BV:BV,0,FALSE)</f>
        <v>0</v>
      </c>
      <c r="AD7" s="101">
        <f t="shared" si="1"/>
        <v>0.25</v>
      </c>
    </row>
    <row r="8" spans="1:32" x14ac:dyDescent="0.3">
      <c r="A8" s="100" t="s">
        <v>175</v>
      </c>
      <c r="B8" s="100" t="s">
        <v>1073</v>
      </c>
      <c r="C8" s="101">
        <v>0</v>
      </c>
      <c r="D8" s="101">
        <v>9116.5</v>
      </c>
      <c r="E8" s="101">
        <v>9116.5</v>
      </c>
      <c r="F8" s="101">
        <v>9000</v>
      </c>
      <c r="G8" s="101">
        <v>116.5</v>
      </c>
      <c r="H8" s="101">
        <v>9118.75</v>
      </c>
      <c r="I8" s="100">
        <v>17605.5</v>
      </c>
      <c r="J8" s="101">
        <v>26840.75</v>
      </c>
      <c r="K8" s="100">
        <v>0</v>
      </c>
      <c r="L8" s="101">
        <v>26840.75</v>
      </c>
      <c r="M8" s="101">
        <v>8883.6299999999992</v>
      </c>
      <c r="N8" s="101">
        <v>35724.379999999997</v>
      </c>
      <c r="O8" s="101">
        <v>6528</v>
      </c>
      <c r="P8" s="101">
        <v>29196.379999999997</v>
      </c>
      <c r="Q8" s="101" t="e">
        <v>#REF!</v>
      </c>
      <c r="R8" s="101">
        <v>38105.879999999997</v>
      </c>
      <c r="S8" s="101">
        <v>8584</v>
      </c>
      <c r="T8" s="101">
        <v>29521.879999999997</v>
      </c>
      <c r="U8" s="101">
        <v>8801.5</v>
      </c>
      <c r="V8" s="101">
        <v>38323.379999999997</v>
      </c>
      <c r="W8" s="101">
        <f>_xlfn.XLOOKUP(A8,Sheet1!A:A,Sheet1!W:W,0,FALSE)</f>
        <v>0</v>
      </c>
      <c r="X8" s="101">
        <f>_xlfn.XLOOKUP(A8,Sheet1!A:A,Sheet1!X:X,0,FALSE)</f>
        <v>38323.379999999997</v>
      </c>
      <c r="Y8" s="101">
        <f>_xlfn.XLOOKUP(A8,Sheet1!A:A,Sheet1!Y:Y,0,FALSE)</f>
        <v>8559.6200000000008</v>
      </c>
      <c r="Z8" s="101">
        <f t="shared" si="0"/>
        <v>46883</v>
      </c>
      <c r="AA8" s="101"/>
      <c r="AB8" s="581">
        <f>_xlfn.XLOOKUP(A8,'Carry Forward 2022'!A:A,'Carry Forward 2022'!B:B,0,FALSE)</f>
        <v>2014</v>
      </c>
      <c r="AC8" s="100">
        <f>_xlfn.XLOOKUP(AB8,'Blade-Export_15-08-2022_cfrdata'!D:D,'Blade-Export_15-08-2022_cfrdata'!BV:BV,0,FALSE)</f>
        <v>38323.379999999997</v>
      </c>
      <c r="AD8" s="101">
        <f t="shared" si="1"/>
        <v>0</v>
      </c>
    </row>
    <row r="9" spans="1:32" x14ac:dyDescent="0.3">
      <c r="A9" s="100" t="s">
        <v>349</v>
      </c>
      <c r="B9" s="100" t="s">
        <v>1072</v>
      </c>
      <c r="C9" s="101">
        <v>11598</v>
      </c>
      <c r="D9" s="101">
        <v>7037.5</v>
      </c>
      <c r="E9" s="101">
        <v>18635.5</v>
      </c>
      <c r="F9" s="101">
        <v>9644.39</v>
      </c>
      <c r="G9" s="101">
        <v>8991.11</v>
      </c>
      <c r="H9" s="101">
        <v>7026.25</v>
      </c>
      <c r="I9" s="100">
        <v>11634.9</v>
      </c>
      <c r="J9" s="101">
        <v>27652.260000000002</v>
      </c>
      <c r="K9" s="100">
        <v>6847.5</v>
      </c>
      <c r="L9" s="101">
        <v>20804.760000000002</v>
      </c>
      <c r="M9" s="101">
        <v>7015</v>
      </c>
      <c r="N9" s="101">
        <v>27819.760000000002</v>
      </c>
      <c r="O9" s="101">
        <v>10869</v>
      </c>
      <c r="P9" s="101">
        <v>16950.760000000002</v>
      </c>
      <c r="Q9" s="101" t="e">
        <v>#REF!</v>
      </c>
      <c r="R9" s="101">
        <v>23988.260000000002</v>
      </c>
      <c r="S9" s="101">
        <v>2318.9899999999998</v>
      </c>
      <c r="T9" s="101">
        <v>21669.270000000004</v>
      </c>
      <c r="U9" s="101">
        <v>7037.5</v>
      </c>
      <c r="V9" s="101">
        <v>28706.770000000004</v>
      </c>
      <c r="W9" s="101">
        <f>_xlfn.XLOOKUP(A9,Sheet1!A:A,Sheet1!W:W,0,FALSE)</f>
        <v>17200.830000000002</v>
      </c>
      <c r="X9" s="101">
        <f>_xlfn.XLOOKUP(A9,Sheet1!A:A,Sheet1!X:X,0,FALSE)</f>
        <v>11505.940000000002</v>
      </c>
      <c r="Y9" s="101">
        <f>_xlfn.XLOOKUP(A9,Sheet1!A:A,Sheet1!Y:Y,0,FALSE)</f>
        <v>7037.5</v>
      </c>
      <c r="Z9" s="101">
        <f t="shared" si="0"/>
        <v>18543.440000000002</v>
      </c>
      <c r="AA9" s="101"/>
      <c r="AB9" s="581">
        <f>_xlfn.XLOOKUP(A9,'Carry Forward 2022'!A:A,'Carry Forward 2022'!B:B,0,FALSE)</f>
        <v>2017</v>
      </c>
      <c r="AC9" s="100">
        <f>_xlfn.XLOOKUP(AB9,'Blade-Export_15-08-2022_cfrdata'!D:D,'Blade-Export_15-08-2022_cfrdata'!BV:BV,0,FALSE)</f>
        <v>11505.94</v>
      </c>
      <c r="AD9" s="101">
        <f t="shared" si="1"/>
        <v>0</v>
      </c>
    </row>
    <row r="10" spans="1:32" x14ac:dyDescent="0.3">
      <c r="A10" s="100" t="s">
        <v>351</v>
      </c>
      <c r="B10" s="108" t="s">
        <v>1071</v>
      </c>
      <c r="C10" s="101">
        <v>-0.48999999999796273</v>
      </c>
      <c r="D10" s="101">
        <v>8038.75</v>
      </c>
      <c r="E10" s="101">
        <v>8038.260000000002</v>
      </c>
      <c r="F10" s="101">
        <v>8038.26</v>
      </c>
      <c r="G10" s="101">
        <v>0</v>
      </c>
      <c r="H10" s="101">
        <v>8050</v>
      </c>
      <c r="I10" s="100">
        <v>14556</v>
      </c>
      <c r="J10" s="101">
        <v>22606</v>
      </c>
      <c r="K10" s="100">
        <v>8050</v>
      </c>
      <c r="L10" s="101">
        <v>14556</v>
      </c>
      <c r="M10" s="101">
        <v>8083.75</v>
      </c>
      <c r="N10" s="101">
        <v>22639.75</v>
      </c>
      <c r="O10" s="101">
        <v>15843.85</v>
      </c>
      <c r="P10" s="101">
        <v>6795.9</v>
      </c>
      <c r="Q10" s="101" t="e">
        <v>#REF!</v>
      </c>
      <c r="R10" s="101">
        <v>14857.15</v>
      </c>
      <c r="S10" s="101">
        <v>2690.5</v>
      </c>
      <c r="T10" s="101">
        <v>12166.65</v>
      </c>
      <c r="U10" s="101">
        <v>8083.75</v>
      </c>
      <c r="V10" s="101">
        <v>20250.400000000001</v>
      </c>
      <c r="W10" s="101">
        <f>_xlfn.XLOOKUP(A10,Sheet1!A:A,Sheet1!W:W,0,FALSE)</f>
        <v>7191.8499999999995</v>
      </c>
      <c r="X10" s="101">
        <f>_xlfn.XLOOKUP(A10,Sheet1!A:A,Sheet1!X:X,0,FALSE)</f>
        <v>13058.550000000003</v>
      </c>
      <c r="Y10" s="101">
        <f>_xlfn.XLOOKUP(A10,Sheet1!A:A,Sheet1!Y:Y,0,FALSE)</f>
        <v>8038.75</v>
      </c>
      <c r="Z10" s="101">
        <f t="shared" si="0"/>
        <v>21097.300000000003</v>
      </c>
      <c r="AA10" s="101"/>
      <c r="AB10" s="581">
        <f>_xlfn.XLOOKUP(A10,'Carry Forward 2022'!A:A,'Carry Forward 2022'!B:B,0,FALSE)</f>
        <v>2016</v>
      </c>
      <c r="AC10" s="100">
        <f>_xlfn.XLOOKUP(AB10,'Blade-Export_15-08-2022_cfrdata'!D:D,'Blade-Export_15-08-2022_cfrdata'!BV:BV,0,FALSE)</f>
        <v>13058.55</v>
      </c>
      <c r="AD10" s="101">
        <f t="shared" si="1"/>
        <v>0</v>
      </c>
    </row>
    <row r="11" spans="1:32" x14ac:dyDescent="0.3">
      <c r="A11" s="100" t="s">
        <v>177</v>
      </c>
      <c r="B11" s="100" t="s">
        <v>1070</v>
      </c>
      <c r="C11" s="101">
        <v>14709</v>
      </c>
      <c r="D11" s="101">
        <v>6344.5</v>
      </c>
      <c r="E11" s="101">
        <v>21053.5</v>
      </c>
      <c r="F11" s="101"/>
      <c r="G11" s="101">
        <v>21053.5</v>
      </c>
      <c r="H11" s="101">
        <v>6985.75</v>
      </c>
      <c r="I11" s="100">
        <v>11519.34</v>
      </c>
      <c r="J11" s="101">
        <v>39558.589999999997</v>
      </c>
      <c r="K11" s="100">
        <v>13496.9</v>
      </c>
      <c r="L11" s="101">
        <v>26061.689999999995</v>
      </c>
      <c r="M11" s="101">
        <v>6862</v>
      </c>
      <c r="N11" s="101">
        <v>32923.689999999995</v>
      </c>
      <c r="O11" s="101">
        <v>9270.9500000000007</v>
      </c>
      <c r="P11" s="101">
        <v>23652.739999999994</v>
      </c>
      <c r="Q11" s="101" t="e">
        <v>#REF!</v>
      </c>
      <c r="R11" s="101">
        <v>30163.739999999994</v>
      </c>
      <c r="S11" s="101">
        <v>12639.09</v>
      </c>
      <c r="T11" s="101">
        <v>17524.649999999994</v>
      </c>
      <c r="U11" s="101">
        <v>6184.75</v>
      </c>
      <c r="V11" s="101">
        <v>23709.399999999994</v>
      </c>
      <c r="W11" s="101">
        <f>_xlfn.XLOOKUP(A11,Sheet1!A:A,Sheet1!W:W,0,FALSE)</f>
        <v>12965</v>
      </c>
      <c r="X11" s="101">
        <f>_xlfn.XLOOKUP(A11,Sheet1!A:A,Sheet1!X:X,0,FALSE)</f>
        <v>10744.399999999994</v>
      </c>
      <c r="Y11" s="101">
        <f>_xlfn.XLOOKUP(A11,Sheet1!A:A,Sheet1!Y:Y,0,FALSE)</f>
        <v>6081.25</v>
      </c>
      <c r="Z11" s="101">
        <f t="shared" si="0"/>
        <v>16825.649999999994</v>
      </c>
      <c r="AA11" s="101"/>
      <c r="AB11" s="581">
        <f>_xlfn.XLOOKUP(A11,'Carry Forward 2022'!A:A,'Carry Forward 2022'!B:B,0,FALSE)</f>
        <v>2239</v>
      </c>
      <c r="AC11" s="100">
        <f>_xlfn.XLOOKUP(AB11,'Blade-Export_15-08-2022_cfrdata'!D:D,'Blade-Export_15-08-2022_cfrdata'!BV:BV,0,FALSE)</f>
        <v>10744.4</v>
      </c>
      <c r="AD11" s="101">
        <f t="shared" si="1"/>
        <v>0</v>
      </c>
    </row>
    <row r="12" spans="1:32" x14ac:dyDescent="0.3">
      <c r="A12" s="100" t="s">
        <v>179</v>
      </c>
      <c r="B12" s="108" t="s">
        <v>1069</v>
      </c>
      <c r="C12" s="101">
        <v>6.9999999999708962E-2</v>
      </c>
      <c r="D12" s="101">
        <v>6565</v>
      </c>
      <c r="E12" s="101">
        <v>6565.07</v>
      </c>
      <c r="F12" s="101">
        <v>4433</v>
      </c>
      <c r="G12" s="101">
        <v>2132.0699999999997</v>
      </c>
      <c r="H12" s="101">
        <v>6655</v>
      </c>
      <c r="I12" s="100">
        <v>10575.6</v>
      </c>
      <c r="J12" s="101">
        <v>19362.669999999998</v>
      </c>
      <c r="K12" s="100">
        <v>1998</v>
      </c>
      <c r="L12" s="101">
        <v>17364.669999999998</v>
      </c>
      <c r="M12" s="101">
        <v>6868.75</v>
      </c>
      <c r="N12" s="101">
        <v>24233.42</v>
      </c>
      <c r="O12" s="101">
        <v>13472.230000000001</v>
      </c>
      <c r="P12" s="101">
        <v>10761.189999999997</v>
      </c>
      <c r="Q12" s="101" t="e">
        <v>#REF!</v>
      </c>
      <c r="R12" s="101">
        <v>17888.689999999995</v>
      </c>
      <c r="S12" s="101">
        <v>17521.259999999998</v>
      </c>
      <c r="T12" s="101">
        <v>367.42999999999665</v>
      </c>
      <c r="U12" s="101">
        <v>7543.75</v>
      </c>
      <c r="V12" s="101">
        <v>7911.1799999999967</v>
      </c>
      <c r="W12" s="101">
        <f>_xlfn.XLOOKUP(A12,Sheet1!A:A,Sheet1!W:W,0,FALSE)</f>
        <v>2995</v>
      </c>
      <c r="X12" s="101">
        <f>_xlfn.XLOOKUP(A12,Sheet1!A:A,Sheet1!X:X,0,FALSE)</f>
        <v>4916.1799999999967</v>
      </c>
      <c r="Y12" s="101">
        <f>_xlfn.XLOOKUP(A12,Sheet1!A:A,Sheet1!Y:Y,0,FALSE)</f>
        <v>7498.75</v>
      </c>
      <c r="Z12" s="101">
        <f t="shared" si="0"/>
        <v>12414.929999999997</v>
      </c>
      <c r="AA12" s="101"/>
      <c r="AB12" s="581">
        <f>_xlfn.XLOOKUP(A12,'Carry Forward 2022'!A:A,'Carry Forward 2022'!B:B,0,FALSE)</f>
        <v>2241</v>
      </c>
      <c r="AC12" s="100">
        <f>_xlfn.XLOOKUP(AB12,'Blade-Export_15-08-2022_cfrdata'!D:D,'Blade-Export_15-08-2022_cfrdata'!BV:BV,0,FALSE)</f>
        <v>4916.18</v>
      </c>
      <c r="AD12" s="101">
        <f t="shared" si="1"/>
        <v>0</v>
      </c>
    </row>
    <row r="13" spans="1:32" x14ac:dyDescent="0.3">
      <c r="A13" s="100" t="s">
        <v>181</v>
      </c>
      <c r="B13" s="119" t="s">
        <v>1068</v>
      </c>
      <c r="C13" s="101">
        <v>0</v>
      </c>
      <c r="D13" s="101">
        <v>6306.25</v>
      </c>
      <c r="E13" s="101">
        <v>6306.25</v>
      </c>
      <c r="F13" s="101">
        <v>6194</v>
      </c>
      <c r="G13" s="101">
        <v>112.25</v>
      </c>
      <c r="H13" s="101">
        <v>6328.75</v>
      </c>
      <c r="I13" s="100">
        <v>9644.7000000000007</v>
      </c>
      <c r="J13" s="101">
        <v>16085.7</v>
      </c>
      <c r="K13" s="100">
        <v>5785</v>
      </c>
      <c r="L13" s="101">
        <v>10300.700000000001</v>
      </c>
      <c r="M13" s="101">
        <v>6272.5</v>
      </c>
      <c r="N13" s="101">
        <v>16573.2</v>
      </c>
      <c r="O13" s="101">
        <v>9252.4500000000007</v>
      </c>
      <c r="P13" s="101">
        <v>7320.75</v>
      </c>
      <c r="Q13" s="101" t="e">
        <v>#REF!</v>
      </c>
      <c r="R13" s="101">
        <v>13638.25</v>
      </c>
      <c r="S13" s="101">
        <v>11932.9</v>
      </c>
      <c r="T13" s="101">
        <v>1705.3500000000004</v>
      </c>
      <c r="U13" s="101">
        <v>6261.25</v>
      </c>
      <c r="V13" s="101">
        <v>7966.6</v>
      </c>
      <c r="W13" s="101">
        <f>_xlfn.XLOOKUP(A13,Sheet1!A:A,Sheet1!W:W,0,FALSE)</f>
        <v>7105.6</v>
      </c>
      <c r="X13" s="101">
        <f>_xlfn.XLOOKUP(A13,Sheet1!A:A,Sheet1!X:X,0,FALSE)</f>
        <v>861</v>
      </c>
      <c r="Y13" s="101">
        <f>_xlfn.XLOOKUP(A13,Sheet1!A:A,Sheet1!Y:Y,0,FALSE)</f>
        <v>6261.25</v>
      </c>
      <c r="Z13" s="101">
        <f t="shared" si="0"/>
        <v>7122.25</v>
      </c>
      <c r="AA13" s="101"/>
      <c r="AB13" s="581">
        <f>_xlfn.XLOOKUP(A13,'Carry Forward 2022'!A:A,'Carry Forward 2022'!B:B,0,FALSE)</f>
        <v>2456</v>
      </c>
      <c r="AC13" s="100">
        <f>_xlfn.XLOOKUP(AB13,'Blade-Export_15-08-2022_cfrdata'!D:D,'Blade-Export_15-08-2022_cfrdata'!BV:BV,0,FALSE)</f>
        <v>861</v>
      </c>
      <c r="AD13" s="101">
        <f t="shared" si="1"/>
        <v>0</v>
      </c>
    </row>
    <row r="14" spans="1:32" x14ac:dyDescent="0.3">
      <c r="A14" s="100" t="s">
        <v>183</v>
      </c>
      <c r="B14" s="100" t="s">
        <v>1067</v>
      </c>
      <c r="C14" s="101">
        <v>32588.93</v>
      </c>
      <c r="D14" s="101">
        <v>10372</v>
      </c>
      <c r="E14" s="101">
        <v>42960.93</v>
      </c>
      <c r="F14" s="101"/>
      <c r="G14" s="101">
        <v>42960.93</v>
      </c>
      <c r="H14" s="101">
        <v>10412.5</v>
      </c>
      <c r="I14" s="100">
        <v>21297</v>
      </c>
      <c r="J14" s="101">
        <v>74670.429999999993</v>
      </c>
      <c r="K14" s="100">
        <v>33659.300000000003</v>
      </c>
      <c r="L14" s="101">
        <v>41011.12999999999</v>
      </c>
      <c r="M14" s="101">
        <v>10075</v>
      </c>
      <c r="N14" s="101">
        <v>51086.12999999999</v>
      </c>
      <c r="O14" s="101">
        <v>25369.690000000002</v>
      </c>
      <c r="P14" s="101">
        <v>25716.439999999988</v>
      </c>
      <c r="Q14" s="101" t="e">
        <v>#REF!</v>
      </c>
      <c r="R14" s="101">
        <v>35442.689999999988</v>
      </c>
      <c r="S14" s="101">
        <v>0</v>
      </c>
      <c r="T14" s="101">
        <v>35442.689999999988</v>
      </c>
      <c r="U14" s="101">
        <v>9238</v>
      </c>
      <c r="V14" s="101">
        <v>44680.689999999988</v>
      </c>
      <c r="W14" s="101">
        <f>_xlfn.XLOOKUP(A14,Sheet1!A:A,Sheet1!W:W,0,FALSE)</f>
        <v>38995</v>
      </c>
      <c r="X14" s="101">
        <f>_xlfn.XLOOKUP(A14,Sheet1!A:A,Sheet1!X:X,0,FALSE)</f>
        <v>5685.6899999999878</v>
      </c>
      <c r="Y14" s="101">
        <f>_xlfn.XLOOKUP(A14,Sheet1!A:A,Sheet1!Y:Y,0,FALSE)</f>
        <v>8798.1200000000008</v>
      </c>
      <c r="Z14" s="101">
        <f t="shared" si="0"/>
        <v>14483.809999999989</v>
      </c>
      <c r="AA14" s="101"/>
      <c r="AB14" s="581">
        <f>_xlfn.XLOOKUP(A14,'Carry Forward 2022'!A:A,'Carry Forward 2022'!B:B,0,FALSE)</f>
        <v>2435</v>
      </c>
      <c r="AC14" s="100">
        <f>_xlfn.XLOOKUP(AB14,'Blade-Export_15-08-2022_cfrdata'!D:D,'Blade-Export_15-08-2022_cfrdata'!BV:BV,0,FALSE)</f>
        <v>5685.69</v>
      </c>
      <c r="AD14" s="101">
        <f t="shared" si="1"/>
        <v>-1.1823431123048067E-11</v>
      </c>
    </row>
    <row r="15" spans="1:32" x14ac:dyDescent="0.3">
      <c r="A15" s="100" t="s">
        <v>185</v>
      </c>
      <c r="B15" s="100" t="s">
        <v>1066</v>
      </c>
      <c r="C15" s="101">
        <v>16586.919999999998</v>
      </c>
      <c r="D15" s="101">
        <v>6448</v>
      </c>
      <c r="E15" s="101">
        <v>23034.92</v>
      </c>
      <c r="F15" s="101"/>
      <c r="G15" s="101">
        <v>23034.92</v>
      </c>
      <c r="H15" s="101">
        <v>6432.25</v>
      </c>
      <c r="I15" s="100">
        <v>9940.02</v>
      </c>
      <c r="J15" s="101">
        <v>39407.19</v>
      </c>
      <c r="K15" s="100">
        <v>12542.089999999998</v>
      </c>
      <c r="L15" s="101">
        <v>26865.100000000006</v>
      </c>
      <c r="M15" s="101">
        <v>6445.75</v>
      </c>
      <c r="N15" s="101">
        <v>33310.850000000006</v>
      </c>
      <c r="O15" s="101">
        <v>6150.38</v>
      </c>
      <c r="P15" s="101">
        <v>27160.470000000005</v>
      </c>
      <c r="Q15" s="101" t="e">
        <v>#REF!</v>
      </c>
      <c r="R15" s="101">
        <v>33522.97</v>
      </c>
      <c r="S15" s="101">
        <v>11055</v>
      </c>
      <c r="T15" s="101">
        <v>22467.97</v>
      </c>
      <c r="U15" s="101">
        <v>6163.38</v>
      </c>
      <c r="V15" s="101">
        <v>28631.350000000002</v>
      </c>
      <c r="W15" s="101">
        <f>_xlfn.XLOOKUP(A15,Sheet1!A:A,Sheet1!W:W,0,FALSE)</f>
        <v>800</v>
      </c>
      <c r="X15" s="101">
        <f>_xlfn.XLOOKUP(A15,Sheet1!A:A,Sheet1!X:X,0,FALSE)</f>
        <v>27831.350000000002</v>
      </c>
      <c r="Y15" s="101">
        <f>_xlfn.XLOOKUP(A15,Sheet1!A:A,Sheet1!Y:Y,0,FALSE)</f>
        <v>6135.25</v>
      </c>
      <c r="Z15" s="101">
        <f t="shared" si="0"/>
        <v>33966.600000000006</v>
      </c>
      <c r="AA15" s="101"/>
      <c r="AB15" s="581">
        <f>_xlfn.XLOOKUP(A15,'Carry Forward 2022'!A:A,'Carry Forward 2022'!B:B,0,FALSE)</f>
        <v>2025</v>
      </c>
      <c r="AC15" s="100">
        <f>_xlfn.XLOOKUP(AB15,'Blade-Export_15-08-2022_cfrdata'!D:D,'Blade-Export_15-08-2022_cfrdata'!BV:BV,0,FALSE)</f>
        <v>27831.35</v>
      </c>
      <c r="AD15" s="101">
        <f t="shared" si="1"/>
        <v>0</v>
      </c>
    </row>
    <row r="16" spans="1:32" x14ac:dyDescent="0.3">
      <c r="A16" s="100" t="s">
        <v>187</v>
      </c>
      <c r="B16" s="108" t="s">
        <v>1065</v>
      </c>
      <c r="C16" s="101">
        <v>5746.8499999999995</v>
      </c>
      <c r="D16" s="101">
        <v>6610</v>
      </c>
      <c r="E16" s="101">
        <v>12356.849999999999</v>
      </c>
      <c r="F16" s="101">
        <v>10490.6</v>
      </c>
      <c r="G16" s="101">
        <v>1866.2499999999982</v>
      </c>
      <c r="H16" s="101">
        <v>6598.75</v>
      </c>
      <c r="I16" s="100">
        <v>10415.1</v>
      </c>
      <c r="J16" s="101">
        <v>18880.099999999999</v>
      </c>
      <c r="K16" s="100">
        <v>304</v>
      </c>
      <c r="L16" s="101">
        <v>18576.099999999999</v>
      </c>
      <c r="M16" s="101">
        <v>6508.75</v>
      </c>
      <c r="N16" s="101">
        <v>25084.85</v>
      </c>
      <c r="O16" s="101">
        <v>13178.98</v>
      </c>
      <c r="P16" s="101">
        <v>11905.869999999999</v>
      </c>
      <c r="Q16" s="101" t="e">
        <v>#REF!</v>
      </c>
      <c r="R16" s="101">
        <v>18493.37</v>
      </c>
      <c r="S16" s="101">
        <v>18493.37</v>
      </c>
      <c r="T16" s="101">
        <v>0</v>
      </c>
      <c r="U16" s="101">
        <v>6441.25</v>
      </c>
      <c r="V16" s="101">
        <v>6441.25</v>
      </c>
      <c r="W16" s="101">
        <f>_xlfn.XLOOKUP(A16,Sheet1!A:A,Sheet1!W:W,0,FALSE)</f>
        <v>1524.5</v>
      </c>
      <c r="X16" s="101">
        <f>_xlfn.XLOOKUP(A16,Sheet1!A:A,Sheet1!X:X,0,FALSE)</f>
        <v>4916.75</v>
      </c>
      <c r="Y16" s="101">
        <f>_xlfn.XLOOKUP(A16,Sheet1!A:A,Sheet1!Y:Y,0,FALSE)</f>
        <v>0</v>
      </c>
      <c r="Z16" s="101">
        <f t="shared" si="0"/>
        <v>4916.75</v>
      </c>
      <c r="AA16" s="101"/>
      <c r="AB16" s="581">
        <f>_xlfn.XLOOKUP(A16,'Carry Forward 2022'!A:A,'Carry Forward 2022'!B:B,0,FALSE)</f>
        <v>2024</v>
      </c>
      <c r="AC16" s="100">
        <f>_xlfn.XLOOKUP(AB16,'Blade-Export_15-08-2022_cfrdata'!D:D,'Blade-Export_15-08-2022_cfrdata'!BV:BV,0,FALSE)</f>
        <v>4916.75</v>
      </c>
      <c r="AD16" s="101">
        <f t="shared" si="1"/>
        <v>0</v>
      </c>
    </row>
    <row r="17" spans="1:30" x14ac:dyDescent="0.3">
      <c r="A17" s="100" t="s">
        <v>189</v>
      </c>
      <c r="B17" s="116" t="s">
        <v>1064</v>
      </c>
      <c r="C17" s="101">
        <v>0</v>
      </c>
      <c r="D17" s="101">
        <v>11053.75</v>
      </c>
      <c r="E17" s="101">
        <v>11053.75</v>
      </c>
      <c r="F17" s="101">
        <v>10975</v>
      </c>
      <c r="G17" s="101">
        <v>78.75</v>
      </c>
      <c r="H17" s="101">
        <v>10873.75</v>
      </c>
      <c r="I17" s="100">
        <v>22613.1</v>
      </c>
      <c r="J17" s="101">
        <v>33565.599999999999</v>
      </c>
      <c r="K17" s="100">
        <v>10952</v>
      </c>
      <c r="L17" s="101">
        <v>22613.599999999999</v>
      </c>
      <c r="M17" s="101">
        <v>11031.25</v>
      </c>
      <c r="N17" s="101">
        <v>33644.85</v>
      </c>
      <c r="O17" s="101">
        <v>33644.85</v>
      </c>
      <c r="P17" s="101">
        <v>0</v>
      </c>
      <c r="Q17" s="101" t="e">
        <v>#REF!</v>
      </c>
      <c r="R17" s="101">
        <v>10896.25</v>
      </c>
      <c r="S17" s="101">
        <v>10896.25</v>
      </c>
      <c r="T17" s="101">
        <v>0</v>
      </c>
      <c r="U17" s="101">
        <v>10873.75</v>
      </c>
      <c r="V17" s="101">
        <v>10873.75</v>
      </c>
      <c r="W17" s="101">
        <f>_xlfn.XLOOKUP(A17,Sheet1!A:A,Sheet1!W:W,0,FALSE)</f>
        <v>0</v>
      </c>
      <c r="X17" s="101">
        <f>_xlfn.XLOOKUP(A17,Sheet1!A:A,Sheet1!X:X,0,FALSE)</f>
        <v>10873.75</v>
      </c>
      <c r="Y17" s="101">
        <f>_xlfn.XLOOKUP(A17,Sheet1!A:A,Sheet1!Y:Y,0,FALSE)</f>
        <v>10356.25</v>
      </c>
      <c r="Z17" s="101">
        <f t="shared" si="0"/>
        <v>21230</v>
      </c>
      <c r="AA17" s="101"/>
      <c r="AB17" s="581">
        <f>_xlfn.XLOOKUP(A17,'Carry Forward 2022'!A:A,'Carry Forward 2022'!B:B,0,FALSE)</f>
        <v>2254</v>
      </c>
      <c r="AC17" s="100">
        <f>_xlfn.XLOOKUP(AB17,'Blade-Export_15-08-2022_cfrdata'!D:D,'Blade-Export_15-08-2022_cfrdata'!BV:BV,0,FALSE)</f>
        <v>10873.75</v>
      </c>
      <c r="AD17" s="101">
        <f t="shared" si="1"/>
        <v>0</v>
      </c>
    </row>
    <row r="18" spans="1:30" x14ac:dyDescent="0.3">
      <c r="A18" s="100" t="s">
        <v>191</v>
      </c>
      <c r="B18" s="118" t="s">
        <v>1063</v>
      </c>
      <c r="C18" s="101">
        <v>7400</v>
      </c>
      <c r="D18" s="101">
        <v>7388.5</v>
      </c>
      <c r="E18" s="101">
        <v>14788.5</v>
      </c>
      <c r="F18" s="101"/>
      <c r="G18" s="101">
        <v>14788.5</v>
      </c>
      <c r="H18" s="101">
        <v>7399.75</v>
      </c>
      <c r="I18" s="100">
        <v>12700.62</v>
      </c>
      <c r="J18" s="101">
        <v>34888.870000000003</v>
      </c>
      <c r="K18" s="100">
        <v>14789</v>
      </c>
      <c r="L18" s="101">
        <v>20099.870000000003</v>
      </c>
      <c r="M18" s="101">
        <v>7388.5</v>
      </c>
      <c r="N18" s="101">
        <v>27488.370000000003</v>
      </c>
      <c r="O18" s="101">
        <v>0</v>
      </c>
      <c r="P18" s="101">
        <v>27488.370000000003</v>
      </c>
      <c r="Q18" s="101" t="e">
        <v>#REF!</v>
      </c>
      <c r="R18" s="101">
        <v>34908.370000000003</v>
      </c>
      <c r="S18" s="101">
        <v>24815</v>
      </c>
      <c r="T18" s="101">
        <v>10093.370000000003</v>
      </c>
      <c r="U18" s="101">
        <v>7478.5</v>
      </c>
      <c r="V18" s="101">
        <v>17571.870000000003</v>
      </c>
      <c r="W18" s="101">
        <f>_xlfn.XLOOKUP(A18,Sheet1!A:A,Sheet1!W:W,0,FALSE)</f>
        <v>0</v>
      </c>
      <c r="X18" s="101">
        <f>_xlfn.XLOOKUP(A18,Sheet1!A:A,Sheet1!X:X,0,FALSE)</f>
        <v>17571.870000000003</v>
      </c>
      <c r="Y18" s="101">
        <f>_xlfn.XLOOKUP(A18,Sheet1!A:A,Sheet1!Y:Y,0,FALSE)</f>
        <v>7458.25</v>
      </c>
      <c r="Z18" s="101">
        <f t="shared" si="0"/>
        <v>25030.120000000003</v>
      </c>
      <c r="AA18" s="101"/>
      <c r="AB18" s="581">
        <f>_xlfn.XLOOKUP(A18,'Carry Forward 2022'!A:A,'Carry Forward 2022'!B:B,0,FALSE)</f>
        <v>2402</v>
      </c>
      <c r="AC18" s="100">
        <f>_xlfn.XLOOKUP(AB18,'Blade-Export_15-08-2022_cfrdata'!D:D,'Blade-Export_15-08-2022_cfrdata'!BV:BV,0,FALSE)</f>
        <v>17571.87</v>
      </c>
      <c r="AD18" s="101">
        <f t="shared" si="1"/>
        <v>0</v>
      </c>
    </row>
    <row r="19" spans="1:30" x14ac:dyDescent="0.3">
      <c r="A19" s="100" t="s">
        <v>193</v>
      </c>
      <c r="B19" s="118" t="s">
        <v>1062</v>
      </c>
      <c r="C19" s="101">
        <v>8039</v>
      </c>
      <c r="D19" s="101">
        <v>8050</v>
      </c>
      <c r="E19" s="101">
        <v>16089</v>
      </c>
      <c r="F19" s="101"/>
      <c r="G19" s="101">
        <v>16089</v>
      </c>
      <c r="H19" s="101">
        <v>8050</v>
      </c>
      <c r="I19" s="100">
        <v>14556</v>
      </c>
      <c r="J19" s="101">
        <v>38695</v>
      </c>
      <c r="K19" s="100">
        <v>16089</v>
      </c>
      <c r="L19" s="101">
        <v>22606</v>
      </c>
      <c r="M19" s="101">
        <v>8072.5</v>
      </c>
      <c r="N19" s="101">
        <v>30678.5</v>
      </c>
      <c r="O19" s="101">
        <v>0</v>
      </c>
      <c r="P19" s="101">
        <v>30678.5</v>
      </c>
      <c r="Q19" s="101" t="e">
        <v>#REF!</v>
      </c>
      <c r="R19" s="101">
        <v>38751</v>
      </c>
      <c r="S19" s="101">
        <v>3203</v>
      </c>
      <c r="T19" s="101">
        <v>35548</v>
      </c>
      <c r="U19" s="101">
        <v>8111.88</v>
      </c>
      <c r="V19" s="101">
        <v>43659.88</v>
      </c>
      <c r="W19" s="101">
        <f>_xlfn.XLOOKUP(A19,Sheet1!A:A,Sheet1!W:W,0,FALSE)</f>
        <v>0</v>
      </c>
      <c r="X19" s="101">
        <f>_xlfn.XLOOKUP(A19,Sheet1!A:A,Sheet1!X:X,0,FALSE)</f>
        <v>43659.88</v>
      </c>
      <c r="Y19" s="101">
        <f>_xlfn.XLOOKUP(A19,Sheet1!A:A,Sheet1!Y:Y,0,FALSE)</f>
        <v>8128.75</v>
      </c>
      <c r="Z19" s="101">
        <f t="shared" si="0"/>
        <v>51788.63</v>
      </c>
      <c r="AA19" s="101"/>
      <c r="AB19" s="581">
        <f>_xlfn.XLOOKUP(A19,'Carry Forward 2022'!A:A,'Carry Forward 2022'!B:B,0,FALSE)</f>
        <v>2401</v>
      </c>
      <c r="AC19" s="100">
        <f>_xlfn.XLOOKUP(AB19,'Blade-Export_15-08-2022_cfrdata'!D:D,'Blade-Export_15-08-2022_cfrdata'!BV:BV,0,FALSE)</f>
        <v>43659.88</v>
      </c>
      <c r="AD19" s="101">
        <f t="shared" si="1"/>
        <v>0</v>
      </c>
    </row>
    <row r="20" spans="1:30" x14ac:dyDescent="0.3">
      <c r="A20" s="100" t="s">
        <v>195</v>
      </c>
      <c r="B20" s="118" t="s">
        <v>1061</v>
      </c>
      <c r="C20" s="101">
        <v>0</v>
      </c>
      <c r="D20" s="101">
        <v>11492.5</v>
      </c>
      <c r="E20" s="101">
        <v>11492.5</v>
      </c>
      <c r="F20" s="101"/>
      <c r="G20" s="101">
        <v>11492.5</v>
      </c>
      <c r="H20" s="101">
        <v>12100</v>
      </c>
      <c r="I20" s="100">
        <v>26112</v>
      </c>
      <c r="J20" s="101">
        <v>49704.5</v>
      </c>
      <c r="K20" s="100">
        <v>23592.5</v>
      </c>
      <c r="L20" s="101">
        <v>26112</v>
      </c>
      <c r="M20" s="101">
        <v>12091</v>
      </c>
      <c r="N20" s="101">
        <v>38203</v>
      </c>
      <c r="O20" s="101">
        <v>0</v>
      </c>
      <c r="P20" s="101">
        <v>38203</v>
      </c>
      <c r="Q20" s="101" t="e">
        <v>#REF!</v>
      </c>
      <c r="R20" s="101">
        <v>50273.75</v>
      </c>
      <c r="S20" s="101">
        <v>50274</v>
      </c>
      <c r="T20" s="101">
        <v>-0.25</v>
      </c>
      <c r="U20" s="101">
        <v>11708.5</v>
      </c>
      <c r="V20" s="101">
        <v>11708.25</v>
      </c>
      <c r="W20" s="101">
        <f>_xlfn.XLOOKUP(A20,Sheet1!A:A,Sheet1!W:W,0,FALSE)</f>
        <v>0</v>
      </c>
      <c r="X20" s="101">
        <f>_xlfn.XLOOKUP(A20,Sheet1!A:A,Sheet1!X:X,0,FALSE)</f>
        <v>11708.25</v>
      </c>
      <c r="Y20" s="101">
        <f>_xlfn.XLOOKUP(A20,Sheet1!A:A,Sheet1!Y:Y,0,FALSE)</f>
        <v>11416</v>
      </c>
      <c r="Z20" s="101">
        <f t="shared" si="0"/>
        <v>23124.25</v>
      </c>
      <c r="AA20" s="101"/>
      <c r="AB20" s="581">
        <f>_xlfn.XLOOKUP(A20,'Carry Forward 2022'!A:A,'Carry Forward 2022'!B:B,0,FALSE)</f>
        <v>2030</v>
      </c>
      <c r="AC20" s="100">
        <f>_xlfn.XLOOKUP(AB20,'Blade-Export_15-08-2022_cfrdata'!D:D,'Blade-Export_15-08-2022_cfrdata'!BV:BV,0,FALSE)</f>
        <v>11708.25</v>
      </c>
      <c r="AD20" s="101">
        <f t="shared" si="1"/>
        <v>0</v>
      </c>
    </row>
    <row r="21" spans="1:30" x14ac:dyDescent="0.3">
      <c r="A21" s="100" t="s">
        <v>199</v>
      </c>
      <c r="B21" s="118" t="s">
        <v>1060</v>
      </c>
      <c r="C21" s="101">
        <v>9331</v>
      </c>
      <c r="D21" s="101">
        <v>6250</v>
      </c>
      <c r="E21" s="101">
        <v>15581</v>
      </c>
      <c r="F21" s="101"/>
      <c r="G21" s="101">
        <v>15581</v>
      </c>
      <c r="H21" s="101">
        <v>6166.75</v>
      </c>
      <c r="I21" s="100">
        <v>9182.4599999999991</v>
      </c>
      <c r="J21" s="101">
        <v>30930.21</v>
      </c>
      <c r="K21" s="100">
        <v>13647</v>
      </c>
      <c r="L21" s="101">
        <v>17283.21</v>
      </c>
      <c r="M21" s="101">
        <v>6121.75</v>
      </c>
      <c r="N21" s="101">
        <v>23404.959999999999</v>
      </c>
      <c r="O21" s="101">
        <v>20893</v>
      </c>
      <c r="P21" s="101">
        <v>2511.9599999999991</v>
      </c>
      <c r="Q21" s="101" t="e">
        <v>#REF!</v>
      </c>
      <c r="R21" s="101">
        <v>8651.7099999999991</v>
      </c>
      <c r="S21" s="101">
        <v>0</v>
      </c>
      <c r="T21" s="101">
        <v>8651.7099999999991</v>
      </c>
      <c r="U21" s="101">
        <v>6173.5</v>
      </c>
      <c r="V21" s="101">
        <v>14825.21</v>
      </c>
      <c r="W21" s="101">
        <f>_xlfn.XLOOKUP(A21,Sheet1!A:A,Sheet1!W:W,0,FALSE)</f>
        <v>0</v>
      </c>
      <c r="X21" s="101">
        <f>_xlfn.XLOOKUP(A21,Sheet1!A:A,Sheet1!X:X,0,FALSE)</f>
        <v>14825.21</v>
      </c>
      <c r="Y21" s="101">
        <f>_xlfn.XLOOKUP(A21,Sheet1!A:A,Sheet1!Y:Y,0,FALSE)</f>
        <v>5975.5</v>
      </c>
      <c r="Z21" s="101">
        <f t="shared" si="0"/>
        <v>20800.71</v>
      </c>
      <c r="AA21" s="101"/>
      <c r="AB21" s="581">
        <f>_xlfn.XLOOKUP(A21,'Carry Forward 2022'!A:A,'Carry Forward 2022'!B:B,0,FALSE)</f>
        <v>2238</v>
      </c>
      <c r="AC21" s="100">
        <f>_xlfn.XLOOKUP(AB21,'Blade-Export_15-08-2022_cfrdata'!D:D,'Blade-Export_15-08-2022_cfrdata'!BV:BV,0,FALSE)</f>
        <v>14825.21</v>
      </c>
      <c r="AD21" s="101">
        <f t="shared" si="1"/>
        <v>0</v>
      </c>
    </row>
    <row r="22" spans="1:30" x14ac:dyDescent="0.3">
      <c r="A22" s="100" t="s">
        <v>201</v>
      </c>
      <c r="B22" s="118" t="s">
        <v>1059</v>
      </c>
      <c r="C22" s="101">
        <v>0</v>
      </c>
      <c r="D22" s="101">
        <v>6632.5</v>
      </c>
      <c r="E22" s="101">
        <v>6632.5</v>
      </c>
      <c r="F22" s="101">
        <v>6632.5</v>
      </c>
      <c r="G22" s="101">
        <v>0</v>
      </c>
      <c r="H22" s="101">
        <v>6553.75</v>
      </c>
      <c r="I22" s="100">
        <v>10286.700000000001</v>
      </c>
      <c r="J22" s="101">
        <v>16840.45</v>
      </c>
      <c r="K22" s="100">
        <v>5925</v>
      </c>
      <c r="L22" s="101">
        <v>10915.45</v>
      </c>
      <c r="M22" s="101">
        <v>6520</v>
      </c>
      <c r="N22" s="101">
        <v>17435.45</v>
      </c>
      <c r="O22" s="101">
        <v>8592</v>
      </c>
      <c r="P22" s="101">
        <v>8843.4500000000007</v>
      </c>
      <c r="Q22" s="101" t="e">
        <v>#REF!</v>
      </c>
      <c r="R22" s="101">
        <v>15453.45</v>
      </c>
      <c r="S22" s="101">
        <v>13825.25</v>
      </c>
      <c r="T22" s="101">
        <v>1628.2000000000007</v>
      </c>
      <c r="U22" s="101">
        <v>6565</v>
      </c>
      <c r="V22" s="101">
        <v>8193.2000000000007</v>
      </c>
      <c r="W22" s="101">
        <f>_xlfn.XLOOKUP(A22,Sheet1!A:A,Sheet1!W:W,0,FALSE)</f>
        <v>1.1368683772161603E-13</v>
      </c>
      <c r="X22" s="101">
        <f>_xlfn.XLOOKUP(A22,Sheet1!A:A,Sheet1!X:X,0,FALSE)</f>
        <v>8193.2000000000007</v>
      </c>
      <c r="Y22" s="101">
        <f>_xlfn.XLOOKUP(A22,Sheet1!A:A,Sheet1!Y:Y,0,FALSE)</f>
        <v>6497.5</v>
      </c>
      <c r="Z22" s="101">
        <f t="shared" si="0"/>
        <v>14690.7</v>
      </c>
      <c r="AA22" s="101"/>
      <c r="AB22" s="581">
        <f>_xlfn.XLOOKUP(A22,'Carry Forward 2022'!A:A,'Carry Forward 2022'!B:B,0,FALSE)</f>
        <v>2236</v>
      </c>
      <c r="AC22" s="100">
        <f>_xlfn.XLOOKUP(AB22,'Blade-Export_15-08-2022_cfrdata'!D:D,'Blade-Export_15-08-2022_cfrdata'!BV:BV,0,FALSE)</f>
        <v>8193.2000000000007</v>
      </c>
      <c r="AD22" s="101">
        <f t="shared" si="1"/>
        <v>0</v>
      </c>
    </row>
    <row r="23" spans="1:30" x14ac:dyDescent="0.3">
      <c r="A23" s="100" t="s">
        <v>203</v>
      </c>
      <c r="B23" s="119" t="s">
        <v>1058</v>
      </c>
      <c r="C23" s="101">
        <v>19613.87</v>
      </c>
      <c r="D23" s="101">
        <v>8995</v>
      </c>
      <c r="E23" s="101">
        <v>28608.87</v>
      </c>
      <c r="F23" s="101">
        <v>1029</v>
      </c>
      <c r="G23" s="101">
        <v>27579.87</v>
      </c>
      <c r="H23" s="101">
        <v>8999.5</v>
      </c>
      <c r="I23" s="100">
        <v>17265.240000000002</v>
      </c>
      <c r="J23" s="101">
        <v>53844.61</v>
      </c>
      <c r="K23" s="100">
        <v>36235.81</v>
      </c>
      <c r="L23" s="101">
        <v>17608.800000000003</v>
      </c>
      <c r="M23" s="101">
        <v>9046.75</v>
      </c>
      <c r="N23" s="101">
        <v>26655.550000000003</v>
      </c>
      <c r="O23" s="117">
        <v>10636.43</v>
      </c>
      <c r="P23" s="101">
        <v>16019.120000000003</v>
      </c>
      <c r="Q23" s="101" t="e">
        <v>#REF!</v>
      </c>
      <c r="R23" s="101">
        <v>25081.620000000003</v>
      </c>
      <c r="S23" s="101">
        <v>15464.56</v>
      </c>
      <c r="T23" s="101">
        <v>9617.0600000000031</v>
      </c>
      <c r="U23" s="101">
        <v>9069.25</v>
      </c>
      <c r="V23" s="101">
        <v>18686.310000000005</v>
      </c>
      <c r="W23" s="582">
        <f>_xlfn.XLOOKUP(A23,Sheet1!A:A,Sheet1!W:W,0,FALSE)+9234.09</f>
        <v>8157.4800000000005</v>
      </c>
      <c r="X23" s="582">
        <f>V23-W23</f>
        <v>10528.830000000005</v>
      </c>
      <c r="Y23" s="101">
        <f>_xlfn.XLOOKUP(A23,Sheet1!A:A,Sheet1!Y:Y,0,FALSE)</f>
        <v>8927.5</v>
      </c>
      <c r="Z23" s="101">
        <f t="shared" si="0"/>
        <v>19456.330000000005</v>
      </c>
      <c r="AA23" s="134"/>
      <c r="AB23" s="581">
        <f>_xlfn.XLOOKUP(A23,'Carry Forward 2022'!A:A,'Carry Forward 2022'!B:B,0,FALSE)</f>
        <v>2465</v>
      </c>
      <c r="AC23" s="100">
        <f>_xlfn.XLOOKUP(AB23,'Blade-Export_15-08-2022_cfrdata'!D:D,'Blade-Export_15-08-2022_cfrdata'!BV:BV,0,FALSE)</f>
        <v>10528.83</v>
      </c>
      <c r="AD23" s="101">
        <f t="shared" si="1"/>
        <v>0</v>
      </c>
    </row>
    <row r="24" spans="1:30" x14ac:dyDescent="0.3">
      <c r="A24" s="100" t="s">
        <v>205</v>
      </c>
      <c r="B24" s="119" t="s">
        <v>1057</v>
      </c>
      <c r="C24" s="101">
        <v>16805.079999999998</v>
      </c>
      <c r="D24" s="101">
        <v>8365</v>
      </c>
      <c r="E24" s="101">
        <v>25170.079999999998</v>
      </c>
      <c r="F24" s="101">
        <v>1789.75</v>
      </c>
      <c r="G24" s="101">
        <v>23380.329999999998</v>
      </c>
      <c r="H24" s="101">
        <v>8747.5</v>
      </c>
      <c r="I24" s="100">
        <v>16546.2</v>
      </c>
      <c r="J24" s="101">
        <v>48674.03</v>
      </c>
      <c r="K24" s="100">
        <v>25210</v>
      </c>
      <c r="L24" s="101">
        <v>23464.03</v>
      </c>
      <c r="M24" s="101">
        <v>8736.25</v>
      </c>
      <c r="N24" s="101">
        <v>32200.28</v>
      </c>
      <c r="O24" s="101">
        <v>11886.14</v>
      </c>
      <c r="P24" s="101">
        <v>20314.14</v>
      </c>
      <c r="Q24" s="101" t="e">
        <v>#REF!</v>
      </c>
      <c r="R24" s="101">
        <v>29050.39</v>
      </c>
      <c r="S24" s="101">
        <v>0</v>
      </c>
      <c r="T24" s="101">
        <v>29050.39</v>
      </c>
      <c r="U24" s="101">
        <v>8736.25</v>
      </c>
      <c r="V24" s="101">
        <v>37786.639999999999</v>
      </c>
      <c r="W24" s="101">
        <f>_xlfn.XLOOKUP(A24,Sheet1!A:A,Sheet1!W:W,0,FALSE)</f>
        <v>10560</v>
      </c>
      <c r="X24" s="101">
        <f>_xlfn.XLOOKUP(A24,Sheet1!A:A,Sheet1!X:X,0,FALSE)</f>
        <v>27226.639999999999</v>
      </c>
      <c r="Y24" s="101">
        <f>_xlfn.XLOOKUP(A24,Sheet1!A:A,Sheet1!Y:Y,0,FALSE)</f>
        <v>8736.25</v>
      </c>
      <c r="Z24" s="101">
        <f t="shared" si="0"/>
        <v>35962.89</v>
      </c>
      <c r="AA24" s="101"/>
      <c r="AB24" s="581">
        <f>_xlfn.XLOOKUP(A24,'Carry Forward 2022'!A:A,'Carry Forward 2022'!B:B,0,FALSE)</f>
        <v>2312</v>
      </c>
      <c r="AC24" s="100">
        <f>_xlfn.XLOOKUP(AB24,'Blade-Export_15-08-2022_cfrdata'!D:D,'Blade-Export_15-08-2022_cfrdata'!BV:BV,0,FALSE)</f>
        <v>27226.639999999999</v>
      </c>
      <c r="AD24" s="101">
        <f t="shared" si="1"/>
        <v>0</v>
      </c>
    </row>
    <row r="25" spans="1:30" x14ac:dyDescent="0.3">
      <c r="A25" s="100" t="s">
        <v>207</v>
      </c>
      <c r="B25" s="119" t="s">
        <v>1056</v>
      </c>
      <c r="C25" s="101">
        <v>24505.200000000001</v>
      </c>
      <c r="D25" s="101">
        <v>9199.75</v>
      </c>
      <c r="E25" s="101">
        <v>33704.949999999997</v>
      </c>
      <c r="F25" s="101">
        <v>17757.669999999998</v>
      </c>
      <c r="G25" s="101">
        <v>15947.279999999999</v>
      </c>
      <c r="H25" s="101">
        <v>9188.5</v>
      </c>
      <c r="I25" s="100">
        <v>17804.52</v>
      </c>
      <c r="J25" s="101">
        <v>42940.3</v>
      </c>
      <c r="K25" s="100">
        <v>0</v>
      </c>
      <c r="L25" s="101">
        <v>42940.3</v>
      </c>
      <c r="M25" s="101">
        <v>9161.5</v>
      </c>
      <c r="N25" s="101">
        <v>52101.8</v>
      </c>
      <c r="O25" s="117">
        <v>36669.58</v>
      </c>
      <c r="P25" s="101">
        <v>15432.220000000001</v>
      </c>
      <c r="Q25" s="101" t="e">
        <v>#REF!</v>
      </c>
      <c r="R25" s="101">
        <v>24658.97</v>
      </c>
      <c r="S25" s="101">
        <v>16320</v>
      </c>
      <c r="T25" s="101">
        <v>8338.9700000000012</v>
      </c>
      <c r="U25" s="101">
        <v>9244.75</v>
      </c>
      <c r="V25" s="101">
        <v>17583.72</v>
      </c>
      <c r="W25" s="582">
        <f>_xlfn.XLOOKUP(A25,Sheet1!A:A,Sheet1!W:W,0,FALSE)-27053.28</f>
        <v>17583.72</v>
      </c>
      <c r="X25" s="582">
        <f>V25-W25</f>
        <v>0</v>
      </c>
      <c r="Y25" s="101">
        <f>_xlfn.XLOOKUP(A25,Sheet1!A:A,Sheet1!Y:Y,0,FALSE)</f>
        <v>9161.5</v>
      </c>
      <c r="Z25" s="101">
        <f t="shared" si="0"/>
        <v>9161.5</v>
      </c>
      <c r="AA25" s="101"/>
      <c r="AB25" s="581">
        <f>_xlfn.XLOOKUP(A25,'Carry Forward 2022'!A:A,'Carry Forward 2022'!B:B,0,FALSE)</f>
        <v>2040</v>
      </c>
      <c r="AC25" s="100">
        <f>_xlfn.XLOOKUP(AB25,'Blade-Export_15-08-2022_cfrdata'!D:D,'Blade-Export_15-08-2022_cfrdata'!BV:BV,0,FALSE)</f>
        <v>0</v>
      </c>
      <c r="AD25" s="101">
        <f t="shared" si="1"/>
        <v>0</v>
      </c>
    </row>
    <row r="26" spans="1:30" x14ac:dyDescent="0.3">
      <c r="A26" s="100" t="s">
        <v>209</v>
      </c>
      <c r="B26" s="116" t="s">
        <v>1055</v>
      </c>
      <c r="C26" s="101">
        <v>18109</v>
      </c>
      <c r="D26" s="101">
        <v>9132.25</v>
      </c>
      <c r="E26" s="101">
        <v>27241.25</v>
      </c>
      <c r="F26" s="101">
        <v>27241.25</v>
      </c>
      <c r="G26" s="101">
        <v>0</v>
      </c>
      <c r="H26" s="101">
        <v>9089.5</v>
      </c>
      <c r="I26" s="100">
        <v>17522.04</v>
      </c>
      <c r="J26" s="101">
        <v>26611.54</v>
      </c>
      <c r="K26" s="100">
        <v>0</v>
      </c>
      <c r="L26" s="101">
        <v>26611.54</v>
      </c>
      <c r="M26" s="101">
        <v>8990.5</v>
      </c>
      <c r="N26" s="101">
        <v>35602.04</v>
      </c>
      <c r="O26" s="101">
        <v>0</v>
      </c>
      <c r="P26" s="101">
        <v>35602.04</v>
      </c>
      <c r="Q26" s="101" t="e">
        <v>#REF!</v>
      </c>
      <c r="R26" s="101">
        <v>44633.04</v>
      </c>
      <c r="S26" s="101">
        <v>28668</v>
      </c>
      <c r="T26" s="101">
        <v>15965.04</v>
      </c>
      <c r="U26" s="101">
        <v>9058</v>
      </c>
      <c r="V26" s="101">
        <v>25023.040000000001</v>
      </c>
      <c r="W26" s="101">
        <f>_xlfn.XLOOKUP(A26,Sheet1!A:A,Sheet1!W:W,0,FALSE)</f>
        <v>0</v>
      </c>
      <c r="X26" s="101">
        <f>_xlfn.XLOOKUP(A26,Sheet1!A:A,Sheet1!X:X,0,FALSE)</f>
        <v>25023.040000000001</v>
      </c>
      <c r="Y26" s="101">
        <f>_xlfn.XLOOKUP(A26,Sheet1!A:A,Sheet1!Y:Y,0,FALSE)</f>
        <v>9026.5</v>
      </c>
      <c r="Z26" s="101">
        <f t="shared" si="0"/>
        <v>34049.54</v>
      </c>
      <c r="AA26" s="101"/>
      <c r="AB26" s="581">
        <f>_xlfn.XLOOKUP(A26,'Carry Forward 2022'!A:A,'Carry Forward 2022'!B:B,0,FALSE)</f>
        <v>2251</v>
      </c>
      <c r="AC26" s="100">
        <f>_xlfn.XLOOKUP(AB26,'Blade-Export_15-08-2022_cfrdata'!D:D,'Blade-Export_15-08-2022_cfrdata'!BV:BV,0,FALSE)</f>
        <v>25023.040000000001</v>
      </c>
      <c r="AD26" s="101">
        <f t="shared" si="1"/>
        <v>0</v>
      </c>
    </row>
    <row r="27" spans="1:30" x14ac:dyDescent="0.3">
      <c r="A27" s="100" t="s">
        <v>213</v>
      </c>
      <c r="B27" s="116" t="s">
        <v>1054</v>
      </c>
      <c r="C27" s="101">
        <v>7310.119999999999</v>
      </c>
      <c r="D27" s="101">
        <v>6515.5</v>
      </c>
      <c r="E27" s="101">
        <v>13825.619999999999</v>
      </c>
      <c r="F27" s="101">
        <v>13825.62</v>
      </c>
      <c r="G27" s="101">
        <v>0</v>
      </c>
      <c r="H27" s="101">
        <v>6461.5</v>
      </c>
      <c r="I27" s="100">
        <v>10023.48</v>
      </c>
      <c r="J27" s="101">
        <v>16484.98</v>
      </c>
      <c r="K27" s="100">
        <v>0</v>
      </c>
      <c r="L27" s="101">
        <v>16484.98</v>
      </c>
      <c r="M27" s="101">
        <v>6488.5</v>
      </c>
      <c r="N27" s="101">
        <v>22973.48</v>
      </c>
      <c r="O27" s="101">
        <v>22973</v>
      </c>
      <c r="P27" s="101">
        <v>0.47999999999956344</v>
      </c>
      <c r="Q27" s="101" t="e">
        <v>#REF!</v>
      </c>
      <c r="R27" s="101">
        <v>6504.73</v>
      </c>
      <c r="S27" s="101">
        <v>6504</v>
      </c>
      <c r="T27" s="101">
        <v>0.72999999999956344</v>
      </c>
      <c r="U27" s="101">
        <v>6459.25</v>
      </c>
      <c r="V27" s="101">
        <v>6459.98</v>
      </c>
      <c r="W27" s="101">
        <f>_xlfn.XLOOKUP(A27,Sheet1!A:A,Sheet1!W:W,0,FALSE)</f>
        <v>0</v>
      </c>
      <c r="X27" s="101">
        <f>_xlfn.XLOOKUP(A27,Sheet1!A:A,Sheet1!X:X,0,FALSE)</f>
        <v>6459.98</v>
      </c>
      <c r="Y27" s="101">
        <f>_xlfn.XLOOKUP(A27,Sheet1!A:A,Sheet1!Y:Y,0,FALSE)</f>
        <v>6434.5</v>
      </c>
      <c r="Z27" s="101">
        <f t="shared" si="0"/>
        <v>12894.48</v>
      </c>
      <c r="AA27" s="101"/>
      <c r="AB27" s="581">
        <f>_xlfn.XLOOKUP(A27,'Carry Forward 2022'!A:A,'Carry Forward 2022'!B:B,0,FALSE)</f>
        <v>3002</v>
      </c>
      <c r="AC27" s="100">
        <f>_xlfn.XLOOKUP(AB27,'Blade-Export_15-08-2022_cfrdata'!D:D,'Blade-Export_15-08-2022_cfrdata'!BV:BV,0,FALSE)</f>
        <v>6459.98</v>
      </c>
      <c r="AD27" s="101">
        <f t="shared" si="1"/>
        <v>0</v>
      </c>
    </row>
    <row r="28" spans="1:30" x14ac:dyDescent="0.3">
      <c r="A28" s="100" t="s">
        <v>215</v>
      </c>
      <c r="B28" s="100" t="s">
        <v>1053</v>
      </c>
      <c r="C28" s="101">
        <v>4739.57</v>
      </c>
      <c r="D28" s="101">
        <v>13481.5</v>
      </c>
      <c r="E28" s="101">
        <v>18221.07</v>
      </c>
      <c r="F28" s="101">
        <v>2249.9699999999998</v>
      </c>
      <c r="G28" s="101">
        <v>15971.1</v>
      </c>
      <c r="H28" s="101">
        <v>13846</v>
      </c>
      <c r="I28" s="100">
        <v>31093.919999999998</v>
      </c>
      <c r="J28" s="101">
        <v>60911.02</v>
      </c>
      <c r="K28" s="100">
        <v>0</v>
      </c>
      <c r="L28" s="101">
        <v>60911.02</v>
      </c>
      <c r="M28" s="101">
        <v>14127.25</v>
      </c>
      <c r="N28" s="101">
        <v>75038.26999999999</v>
      </c>
      <c r="O28" s="101">
        <v>49064</v>
      </c>
      <c r="P28" s="101">
        <v>25974.26999999999</v>
      </c>
      <c r="Q28" s="101" t="e">
        <v>#REF!</v>
      </c>
      <c r="R28" s="101">
        <v>39833.76999999999</v>
      </c>
      <c r="S28" s="101">
        <v>19691.75</v>
      </c>
      <c r="T28" s="101">
        <v>20142.01999999999</v>
      </c>
      <c r="U28" s="101">
        <v>13740.25</v>
      </c>
      <c r="V28" s="101">
        <v>33882.26999999999</v>
      </c>
      <c r="W28" s="101">
        <f>_xlfn.XLOOKUP(A28,Sheet1!A:A,Sheet1!W:W,0,FALSE)</f>
        <v>32517.84</v>
      </c>
      <c r="X28" s="101">
        <f>_xlfn.XLOOKUP(A28,Sheet1!A:A,Sheet1!X:X,0,FALSE)</f>
        <v>1364.4299999999894</v>
      </c>
      <c r="Y28" s="101">
        <f>_xlfn.XLOOKUP(A28,Sheet1!A:A,Sheet1!Y:Y,0,FALSE)</f>
        <v>13470.25</v>
      </c>
      <c r="Z28" s="101">
        <f t="shared" si="0"/>
        <v>14834.679999999989</v>
      </c>
      <c r="AA28" s="101"/>
      <c r="AB28" s="581">
        <f>_xlfn.XLOOKUP(A28,'Carry Forward 2022'!A:A,'Carry Forward 2022'!B:B,0,FALSE)</f>
        <v>3432</v>
      </c>
      <c r="AC28" s="100">
        <f>_xlfn.XLOOKUP(AB28,'Blade-Export_15-08-2022_cfrdata'!D:D,'Blade-Export_15-08-2022_cfrdata'!BV:BV,0,FALSE)</f>
        <v>1364.43</v>
      </c>
      <c r="AD28" s="101">
        <f t="shared" si="1"/>
        <v>-1.0686562745831907E-11</v>
      </c>
    </row>
    <row r="29" spans="1:30" x14ac:dyDescent="0.3">
      <c r="A29" s="100" t="s">
        <v>217</v>
      </c>
      <c r="B29" s="119" t="s">
        <v>1052</v>
      </c>
      <c r="C29" s="101">
        <v>-0.40000000000145519</v>
      </c>
      <c r="D29" s="101">
        <v>7071.25</v>
      </c>
      <c r="E29" s="101">
        <v>7070.8499999999985</v>
      </c>
      <c r="F29" s="101"/>
      <c r="G29" s="101">
        <v>7070.8499999999985</v>
      </c>
      <c r="H29" s="101">
        <v>7397.5</v>
      </c>
      <c r="I29" s="100">
        <v>12694.2</v>
      </c>
      <c r="J29" s="101">
        <v>27162.55</v>
      </c>
      <c r="K29" s="100">
        <v>0</v>
      </c>
      <c r="L29" s="101">
        <v>27162.55</v>
      </c>
      <c r="M29" s="101">
        <v>7780</v>
      </c>
      <c r="N29" s="101">
        <v>34942.550000000003</v>
      </c>
      <c r="O29" s="101">
        <v>29521.39</v>
      </c>
      <c r="P29" s="101">
        <v>5421.1600000000035</v>
      </c>
      <c r="Q29" s="101" t="e">
        <v>#REF!</v>
      </c>
      <c r="R29" s="101">
        <v>13426.160000000003</v>
      </c>
      <c r="S29" s="101">
        <v>6200</v>
      </c>
      <c r="T29" s="101">
        <v>7226.1600000000035</v>
      </c>
      <c r="U29" s="101">
        <v>7819.38</v>
      </c>
      <c r="V29" s="101">
        <v>15045.540000000005</v>
      </c>
      <c r="W29" s="101">
        <f>_xlfn.XLOOKUP(A29,Sheet1!A:A,Sheet1!W:W,0,FALSE)</f>
        <v>0</v>
      </c>
      <c r="X29" s="101">
        <f>_xlfn.XLOOKUP(A29,Sheet1!A:A,Sheet1!X:X,0,FALSE)</f>
        <v>15045.540000000005</v>
      </c>
      <c r="Y29" s="101">
        <f>_xlfn.XLOOKUP(A29,Sheet1!A:A,Sheet1!Y:Y,0,FALSE)</f>
        <v>8111.88</v>
      </c>
      <c r="Z29" s="101">
        <f t="shared" si="0"/>
        <v>23157.420000000006</v>
      </c>
      <c r="AA29" s="101"/>
      <c r="AB29" s="581">
        <f>_xlfn.XLOOKUP(A29,'Carry Forward 2022'!A:A,'Carry Forward 2022'!B:B,0,FALSE)</f>
        <v>2289</v>
      </c>
      <c r="AC29" s="100">
        <f>_xlfn.XLOOKUP(AB29,'Blade-Export_15-08-2022_cfrdata'!D:D,'Blade-Export_15-08-2022_cfrdata'!BV:BV,0,FALSE)</f>
        <v>15045.54</v>
      </c>
      <c r="AD29" s="101">
        <f t="shared" si="1"/>
        <v>0</v>
      </c>
    </row>
    <row r="30" spans="1:30" x14ac:dyDescent="0.3">
      <c r="A30" s="100" t="s">
        <v>219</v>
      </c>
      <c r="B30" s="100" t="s">
        <v>1051</v>
      </c>
      <c r="C30" s="101">
        <v>37336</v>
      </c>
      <c r="D30" s="101">
        <v>8736.25</v>
      </c>
      <c r="E30" s="101">
        <v>46072.25</v>
      </c>
      <c r="F30" s="101">
        <v>35616</v>
      </c>
      <c r="G30" s="101">
        <v>10456.25</v>
      </c>
      <c r="H30" s="101">
        <v>8736.25</v>
      </c>
      <c r="I30" s="100">
        <v>16514.099999999999</v>
      </c>
      <c r="J30" s="101">
        <v>35706.6</v>
      </c>
      <c r="K30" s="100">
        <v>18431.5</v>
      </c>
      <c r="L30" s="101">
        <v>17275.099999999999</v>
      </c>
      <c r="M30" s="101">
        <v>8725</v>
      </c>
      <c r="N30" s="101">
        <v>26000.1</v>
      </c>
      <c r="O30" s="101">
        <v>25694.95</v>
      </c>
      <c r="P30" s="101">
        <v>305.14999999999782</v>
      </c>
      <c r="Q30" s="101" t="e">
        <v>#REF!</v>
      </c>
      <c r="R30" s="101">
        <v>9131.3999999999978</v>
      </c>
      <c r="S30" s="101">
        <v>9131.41</v>
      </c>
      <c r="T30" s="101">
        <v>-1.0000000002037268E-2</v>
      </c>
      <c r="U30" s="101">
        <v>9116.5</v>
      </c>
      <c r="V30" s="101">
        <v>9116.489999999998</v>
      </c>
      <c r="W30" s="101">
        <f>_xlfn.XLOOKUP(A30,Sheet1!A:A,Sheet1!W:W,0,FALSE)</f>
        <v>0</v>
      </c>
      <c r="X30" s="101">
        <f>_xlfn.XLOOKUP(A30,Sheet1!A:A,Sheet1!X:X,0,FALSE)</f>
        <v>9116.489999999998</v>
      </c>
      <c r="Y30" s="101">
        <f>_xlfn.XLOOKUP(A30,Sheet1!A:A,Sheet1!Y:Y,0,FALSE)</f>
        <v>9087.25</v>
      </c>
      <c r="Z30" s="101">
        <f t="shared" si="0"/>
        <v>18203.739999999998</v>
      </c>
      <c r="AA30" s="101"/>
      <c r="AB30" s="581">
        <f>_xlfn.XLOOKUP(A30,'Carry Forward 2022'!A:A,'Carry Forward 2022'!B:B,0,FALSE)</f>
        <v>2185</v>
      </c>
      <c r="AC30" s="100">
        <f>_xlfn.XLOOKUP(AB30,'Blade-Export_15-08-2022_cfrdata'!D:D,'Blade-Export_15-08-2022_cfrdata'!BV:BV,0,FALSE)</f>
        <v>9116.49</v>
      </c>
      <c r="AD30" s="101">
        <f t="shared" si="1"/>
        <v>0</v>
      </c>
    </row>
    <row r="31" spans="1:30" x14ac:dyDescent="0.3">
      <c r="A31" s="100" t="s">
        <v>1050</v>
      </c>
      <c r="B31" s="108" t="s">
        <v>1049</v>
      </c>
      <c r="C31" s="101">
        <v>25942.05</v>
      </c>
      <c r="D31" s="101">
        <v>8646.25</v>
      </c>
      <c r="E31" s="101">
        <v>34588.300000000003</v>
      </c>
      <c r="F31" s="101">
        <v>1974</v>
      </c>
      <c r="G31" s="101">
        <v>32614.300000000003</v>
      </c>
      <c r="H31" s="101">
        <v>8668.75</v>
      </c>
      <c r="I31" s="100">
        <v>16321.5</v>
      </c>
      <c r="J31" s="101">
        <v>57604.55</v>
      </c>
      <c r="K31" s="100">
        <v>0</v>
      </c>
      <c r="L31" s="101">
        <v>57604.55</v>
      </c>
      <c r="M31" s="101">
        <v>0</v>
      </c>
      <c r="N31" s="101">
        <v>57604.55</v>
      </c>
      <c r="O31" s="101">
        <v>0</v>
      </c>
      <c r="P31" s="101">
        <v>57604.55</v>
      </c>
      <c r="Q31" s="121"/>
      <c r="R31" s="101">
        <v>57604.55</v>
      </c>
      <c r="S31" s="101">
        <v>0</v>
      </c>
      <c r="T31" s="101">
        <v>57604.55</v>
      </c>
      <c r="U31" s="101"/>
      <c r="V31" s="101">
        <v>57604.55</v>
      </c>
      <c r="W31" s="101">
        <f>_xlfn.XLOOKUP(A31,Sheet1!A:A,Sheet1!W:W,0,FALSE)</f>
        <v>0</v>
      </c>
      <c r="X31" s="101">
        <f>_xlfn.XLOOKUP(A31,Sheet1!A:A,Sheet1!X:X,0,FALSE)</f>
        <v>57604.55</v>
      </c>
      <c r="Y31" s="101">
        <f>_xlfn.XLOOKUP(A31,Sheet1!A:A,Sheet1!Y:Y,0,FALSE)</f>
        <v>0</v>
      </c>
      <c r="Z31" s="101">
        <f t="shared" si="0"/>
        <v>57604.55</v>
      </c>
      <c r="AA31" s="101"/>
      <c r="AB31" s="581">
        <f>_xlfn.XLOOKUP(A31,'Carry Forward 2022'!A:A,'Carry Forward 2022'!B:B,0,FALSE)</f>
        <v>0</v>
      </c>
      <c r="AC31" s="100">
        <f>_xlfn.XLOOKUP(AB31,'Blade-Export_15-08-2022_cfrdata'!D:D,'Blade-Export_15-08-2022_cfrdata'!BV:BV,0,FALSE)</f>
        <v>0</v>
      </c>
      <c r="AD31" s="101">
        <f t="shared" si="1"/>
        <v>57604.55</v>
      </c>
    </row>
    <row r="32" spans="1:30" x14ac:dyDescent="0.3">
      <c r="A32" s="100" t="s">
        <v>221</v>
      </c>
      <c r="B32" s="118" t="s">
        <v>1048</v>
      </c>
      <c r="C32" s="101">
        <v>0</v>
      </c>
      <c r="D32" s="101">
        <v>8401</v>
      </c>
      <c r="E32" s="101">
        <v>8401</v>
      </c>
      <c r="F32" s="101"/>
      <c r="G32" s="101">
        <v>8401</v>
      </c>
      <c r="H32" s="101">
        <v>8394.25</v>
      </c>
      <c r="I32" s="100">
        <v>15538.26</v>
      </c>
      <c r="J32" s="101">
        <v>32333.510000000002</v>
      </c>
      <c r="K32" s="100">
        <v>16765</v>
      </c>
      <c r="L32" s="101">
        <v>15568.510000000002</v>
      </c>
      <c r="M32" s="101">
        <v>8376.25</v>
      </c>
      <c r="N32" s="101">
        <v>23944.760000000002</v>
      </c>
      <c r="O32" s="101">
        <v>15925</v>
      </c>
      <c r="P32" s="101">
        <v>8019.760000000002</v>
      </c>
      <c r="Q32" s="101" t="e">
        <v>#REF!</v>
      </c>
      <c r="R32" s="101">
        <v>16375.760000000002</v>
      </c>
      <c r="S32" s="101">
        <v>16376</v>
      </c>
      <c r="T32" s="101">
        <v>-0.23999999999796273</v>
      </c>
      <c r="U32" s="101">
        <v>8394.25</v>
      </c>
      <c r="V32" s="101">
        <v>8394.010000000002</v>
      </c>
      <c r="W32" s="101">
        <f>_xlfn.XLOOKUP(A32,Sheet1!A:A,Sheet1!W:W,0,FALSE)</f>
        <v>0</v>
      </c>
      <c r="X32" s="101">
        <f>_xlfn.XLOOKUP(A32,Sheet1!A:A,Sheet1!X:X,0,FALSE)</f>
        <v>8394.010000000002</v>
      </c>
      <c r="Y32" s="101">
        <f>_xlfn.XLOOKUP(A32,Sheet1!A:A,Sheet1!Y:Y,0,FALSE)</f>
        <v>8423.5</v>
      </c>
      <c r="Z32" s="101">
        <f t="shared" si="0"/>
        <v>16817.510000000002</v>
      </c>
      <c r="AA32" s="101"/>
      <c r="AB32" s="581">
        <f>_xlfn.XLOOKUP(A32,'Carry Forward 2022'!A:A,'Carry Forward 2022'!B:B,0,FALSE)</f>
        <v>2054</v>
      </c>
      <c r="AC32" s="100">
        <f>_xlfn.XLOOKUP(AB32,'Blade-Export_15-08-2022_cfrdata'!D:D,'Blade-Export_15-08-2022_cfrdata'!BV:BV,0,FALSE)</f>
        <v>8394.01</v>
      </c>
      <c r="AD32" s="101">
        <f t="shared" si="1"/>
        <v>0</v>
      </c>
    </row>
    <row r="33" spans="1:30" x14ac:dyDescent="0.3">
      <c r="A33" s="100" t="s">
        <v>223</v>
      </c>
      <c r="B33" s="118" t="s">
        <v>1047</v>
      </c>
      <c r="C33" s="101">
        <v>13413</v>
      </c>
      <c r="D33" s="101">
        <v>9073.75</v>
      </c>
      <c r="E33" s="101">
        <v>22486.75</v>
      </c>
      <c r="F33" s="101"/>
      <c r="G33" s="101">
        <v>22486.75</v>
      </c>
      <c r="H33" s="101">
        <v>9400</v>
      </c>
      <c r="I33" s="100">
        <v>18408</v>
      </c>
      <c r="J33" s="101">
        <v>50294.75</v>
      </c>
      <c r="K33" s="100">
        <v>31887</v>
      </c>
      <c r="L33" s="101">
        <v>18407.75</v>
      </c>
      <c r="M33" s="101">
        <v>9377.5</v>
      </c>
      <c r="N33" s="101">
        <v>27785.25</v>
      </c>
      <c r="O33" s="101">
        <v>24414</v>
      </c>
      <c r="P33" s="101">
        <v>3371.25</v>
      </c>
      <c r="Q33" s="101" t="e">
        <v>#REF!</v>
      </c>
      <c r="R33" s="101">
        <v>12771.25</v>
      </c>
      <c r="S33" s="101">
        <v>12771</v>
      </c>
      <c r="T33" s="101">
        <v>0.25</v>
      </c>
      <c r="U33" s="101">
        <v>9400</v>
      </c>
      <c r="V33" s="101">
        <v>9400.25</v>
      </c>
      <c r="W33" s="101">
        <f>_xlfn.XLOOKUP(A33,Sheet1!A:A,Sheet1!W:W,0,FALSE)</f>
        <v>0</v>
      </c>
      <c r="X33" s="101">
        <f>_xlfn.XLOOKUP(A33,Sheet1!A:A,Sheet1!X:X,0,FALSE)</f>
        <v>9400.25</v>
      </c>
      <c r="Y33" s="101">
        <f>_xlfn.XLOOKUP(A33,Sheet1!A:A,Sheet1!Y:Y,0,FALSE)</f>
        <v>9355</v>
      </c>
      <c r="Z33" s="101">
        <f t="shared" si="0"/>
        <v>18755.25</v>
      </c>
      <c r="AA33" s="101"/>
      <c r="AB33" s="581">
        <f>_xlfn.XLOOKUP(A33,'Carry Forward 2022'!A:A,'Carry Forward 2022'!B:B,0,FALSE)</f>
        <v>2053</v>
      </c>
      <c r="AC33" s="100">
        <f>_xlfn.XLOOKUP(AB33,'Blade-Export_15-08-2022_cfrdata'!D:D,'Blade-Export_15-08-2022_cfrdata'!BV:BV,0,FALSE)</f>
        <v>9400.25</v>
      </c>
      <c r="AD33" s="101">
        <f t="shared" si="1"/>
        <v>0</v>
      </c>
    </row>
    <row r="34" spans="1:30" ht="13.95" customHeight="1" x14ac:dyDescent="0.3">
      <c r="A34" s="100" t="s">
        <v>225</v>
      </c>
      <c r="B34" s="100" t="s">
        <v>1046</v>
      </c>
      <c r="C34" s="101">
        <v>0</v>
      </c>
      <c r="D34" s="101">
        <v>8736.25</v>
      </c>
      <c r="E34" s="101">
        <v>8736.25</v>
      </c>
      <c r="F34" s="101">
        <v>8736</v>
      </c>
      <c r="G34" s="101">
        <v>0.25</v>
      </c>
      <c r="H34" s="101">
        <v>8747.5</v>
      </c>
      <c r="I34" s="100">
        <v>16546.2</v>
      </c>
      <c r="J34" s="101">
        <v>25293.95</v>
      </c>
      <c r="K34" s="100">
        <v>10587.43</v>
      </c>
      <c r="L34" s="101">
        <v>14706.52</v>
      </c>
      <c r="M34" s="101">
        <v>8758.75</v>
      </c>
      <c r="N34" s="101">
        <v>23465.27</v>
      </c>
      <c r="O34" s="101">
        <v>13622.92</v>
      </c>
      <c r="P34" s="101">
        <v>9842.35</v>
      </c>
      <c r="Q34" s="101" t="e">
        <v>#REF!</v>
      </c>
      <c r="R34" s="101">
        <v>18556.099999999999</v>
      </c>
      <c r="S34" s="101">
        <v>9568</v>
      </c>
      <c r="T34" s="101">
        <v>8988.0999999999985</v>
      </c>
      <c r="U34" s="101">
        <v>8713.75</v>
      </c>
      <c r="V34" s="101">
        <v>17701.849999999999</v>
      </c>
      <c r="W34" s="101">
        <f>_xlfn.XLOOKUP(A34,Sheet1!A:A,Sheet1!W:W,0,FALSE)</f>
        <v>14426.64</v>
      </c>
      <c r="X34" s="101">
        <f>_xlfn.XLOOKUP(A34,Sheet1!A:A,Sheet1!X:X,0,FALSE)</f>
        <v>3275.2099999999991</v>
      </c>
      <c r="Y34" s="101">
        <f>_xlfn.XLOOKUP(A34,Sheet1!A:A,Sheet1!Y:Y,0,FALSE)</f>
        <v>8736.25</v>
      </c>
      <c r="Z34" s="101">
        <f t="shared" si="0"/>
        <v>12011.46</v>
      </c>
      <c r="AA34" s="101"/>
      <c r="AB34" s="581">
        <f>_xlfn.XLOOKUP(A34,'Carry Forward 2022'!A:A,'Carry Forward 2022'!B:B,0,FALSE)</f>
        <v>2464</v>
      </c>
      <c r="AC34" s="100">
        <f>_xlfn.XLOOKUP(AB34,'Blade-Export_15-08-2022_cfrdata'!D:D,'Blade-Export_15-08-2022_cfrdata'!BV:BV,0,FALSE)</f>
        <v>3275.21</v>
      </c>
      <c r="AD34" s="101">
        <f t="shared" si="1"/>
        <v>0</v>
      </c>
    </row>
    <row r="35" spans="1:30" x14ac:dyDescent="0.3">
      <c r="A35" s="100" t="s">
        <v>229</v>
      </c>
      <c r="B35" s="100" t="s">
        <v>1045</v>
      </c>
      <c r="C35" s="101">
        <v>8691.0400000000009</v>
      </c>
      <c r="D35" s="101">
        <v>8727.25</v>
      </c>
      <c r="E35" s="101">
        <v>17418.29</v>
      </c>
      <c r="F35" s="101">
        <v>3737.99</v>
      </c>
      <c r="G35" s="101">
        <v>13680.300000000001</v>
      </c>
      <c r="H35" s="101">
        <v>8797</v>
      </c>
      <c r="I35" s="100">
        <v>16687.439999999999</v>
      </c>
      <c r="J35" s="101">
        <v>39164.740000000005</v>
      </c>
      <c r="K35" s="100">
        <v>11557.75</v>
      </c>
      <c r="L35" s="101">
        <v>27606.990000000005</v>
      </c>
      <c r="M35" s="101">
        <v>8722.75</v>
      </c>
      <c r="N35" s="101">
        <v>36329.740000000005</v>
      </c>
      <c r="O35" s="101">
        <v>14086.06</v>
      </c>
      <c r="P35" s="101">
        <v>22243.680000000008</v>
      </c>
      <c r="Q35" s="101" t="e">
        <v>#REF!</v>
      </c>
      <c r="R35" s="101">
        <v>30925.930000000008</v>
      </c>
      <c r="S35" s="101">
        <v>0</v>
      </c>
      <c r="T35" s="101">
        <v>30925.930000000008</v>
      </c>
      <c r="U35" s="101">
        <v>8655.25</v>
      </c>
      <c r="V35" s="101">
        <v>39581.180000000008</v>
      </c>
      <c r="W35" s="101">
        <f>_xlfn.XLOOKUP(A35,Sheet1!A:A,Sheet1!W:W,0,FALSE)</f>
        <v>0</v>
      </c>
      <c r="X35" s="101">
        <f>_xlfn.XLOOKUP(A35,Sheet1!A:A,Sheet1!X:X,0,FALSE)</f>
        <v>39581.180000000008</v>
      </c>
      <c r="Y35" s="101">
        <f>_xlfn.XLOOKUP(A35,Sheet1!A:A,Sheet1!Y:Y,0,FALSE)</f>
        <v>8722.75</v>
      </c>
      <c r="Z35" s="101">
        <f t="shared" si="0"/>
        <v>48303.930000000008</v>
      </c>
      <c r="AA35" s="101"/>
      <c r="AB35" s="581">
        <f>_xlfn.XLOOKUP(A35,'Carry Forward 2022'!A:A,'Carry Forward 2022'!B:B,0,FALSE)</f>
        <v>2055</v>
      </c>
      <c r="AC35" s="100">
        <f>_xlfn.XLOOKUP(AB35,'Blade-Export_15-08-2022_cfrdata'!D:D,'Blade-Export_15-08-2022_cfrdata'!BV:BV,0,FALSE)</f>
        <v>39581.18</v>
      </c>
      <c r="AD35" s="101">
        <f t="shared" si="1"/>
        <v>0</v>
      </c>
    </row>
    <row r="36" spans="1:30" x14ac:dyDescent="0.3">
      <c r="A36" s="100" t="s">
        <v>231</v>
      </c>
      <c r="B36" s="100" t="s">
        <v>1044</v>
      </c>
      <c r="C36" s="101">
        <v>6503</v>
      </c>
      <c r="D36" s="101">
        <v>6216.25</v>
      </c>
      <c r="E36" s="101">
        <v>12719.25</v>
      </c>
      <c r="F36" s="101">
        <v>5325</v>
      </c>
      <c r="G36" s="101">
        <v>7394.25</v>
      </c>
      <c r="H36" s="101">
        <v>6306.25</v>
      </c>
      <c r="I36" s="100">
        <v>9580.5</v>
      </c>
      <c r="J36" s="101">
        <v>23281</v>
      </c>
      <c r="K36" s="100">
        <v>9029.7999999999993</v>
      </c>
      <c r="L36" s="101">
        <v>14251.2</v>
      </c>
      <c r="M36" s="101">
        <v>6493</v>
      </c>
      <c r="N36" s="101">
        <v>20744.2</v>
      </c>
      <c r="O36" s="101">
        <v>20000</v>
      </c>
      <c r="P36" s="101">
        <v>744.20000000000073</v>
      </c>
      <c r="Q36" s="101" t="e">
        <v>#REF!</v>
      </c>
      <c r="R36" s="101">
        <v>7351.9500000000007</v>
      </c>
      <c r="S36" s="101">
        <v>0</v>
      </c>
      <c r="T36" s="101">
        <v>7351.9500000000007</v>
      </c>
      <c r="U36" s="101">
        <v>6604.38</v>
      </c>
      <c r="V36" s="101">
        <v>13956.330000000002</v>
      </c>
      <c r="W36" s="101">
        <f>_xlfn.XLOOKUP(A36,Sheet1!A:A,Sheet1!W:W,0,FALSE)</f>
        <v>0</v>
      </c>
      <c r="X36" s="101">
        <f>_xlfn.XLOOKUP(A36,Sheet1!A:A,Sheet1!X:X,0,FALSE)</f>
        <v>13956.330000000002</v>
      </c>
      <c r="Y36" s="101">
        <f>_xlfn.XLOOKUP(A36,Sheet1!A:A,Sheet1!Y:Y,0,FALSE)</f>
        <v>6557.12</v>
      </c>
      <c r="Z36" s="101">
        <f t="shared" si="0"/>
        <v>20513.45</v>
      </c>
      <c r="AA36" s="101"/>
      <c r="AB36" s="581">
        <f>_xlfn.XLOOKUP(A36,'Carry Forward 2022'!A:A,'Carry Forward 2022'!B:B,0,FALSE)</f>
        <v>2191</v>
      </c>
      <c r="AC36" s="100">
        <f>_xlfn.XLOOKUP(AB36,'Blade-Export_15-08-2022_cfrdata'!D:D,'Blade-Export_15-08-2022_cfrdata'!BV:BV,0,FALSE)</f>
        <v>13956.33</v>
      </c>
      <c r="AD36" s="101">
        <f t="shared" si="1"/>
        <v>0</v>
      </c>
    </row>
    <row r="37" spans="1:30" x14ac:dyDescent="0.3">
      <c r="A37" s="100" t="s">
        <v>233</v>
      </c>
      <c r="B37" s="100" t="s">
        <v>1043</v>
      </c>
      <c r="C37" s="101">
        <v>-0.3000000000001819</v>
      </c>
      <c r="D37" s="101">
        <v>6362.5</v>
      </c>
      <c r="E37" s="101">
        <v>6362.2</v>
      </c>
      <c r="F37" s="101">
        <v>6359</v>
      </c>
      <c r="G37" s="101">
        <v>3.1999999999998181</v>
      </c>
      <c r="H37" s="101">
        <v>6362.5</v>
      </c>
      <c r="I37" s="100">
        <v>9741</v>
      </c>
      <c r="J37" s="101">
        <v>16106.7</v>
      </c>
      <c r="K37" s="100">
        <v>3536.2</v>
      </c>
      <c r="L37" s="101">
        <v>12570.5</v>
      </c>
      <c r="M37" s="101">
        <v>6362.5</v>
      </c>
      <c r="N37" s="101">
        <v>18933</v>
      </c>
      <c r="O37" s="101">
        <v>14731.5</v>
      </c>
      <c r="P37" s="101">
        <v>4201.5</v>
      </c>
      <c r="Q37" s="101" t="e">
        <v>#REF!</v>
      </c>
      <c r="R37" s="101">
        <v>10575.25</v>
      </c>
      <c r="S37" s="101">
        <v>1365</v>
      </c>
      <c r="T37" s="101">
        <v>9210.25</v>
      </c>
      <c r="U37" s="101">
        <v>6373.75</v>
      </c>
      <c r="V37" s="101">
        <v>15584</v>
      </c>
      <c r="W37" s="101">
        <f>_xlfn.XLOOKUP(A37,Sheet1!A:A,Sheet1!W:W,0,FALSE)</f>
        <v>6359.7999999999993</v>
      </c>
      <c r="X37" s="101">
        <f>_xlfn.XLOOKUP(A37,Sheet1!A:A,Sheet1!X:X,0,FALSE)</f>
        <v>9224.2000000000007</v>
      </c>
      <c r="Y37" s="101">
        <f>_xlfn.XLOOKUP(A37,Sheet1!A:A,Sheet1!Y:Y,0,FALSE)</f>
        <v>6328.75</v>
      </c>
      <c r="Z37" s="101">
        <f t="shared" si="0"/>
        <v>15552.95</v>
      </c>
      <c r="AA37" s="101"/>
      <c r="AB37" s="581">
        <f>_xlfn.XLOOKUP(A37,'Carry Forward 2022'!A:A,'Carry Forward 2022'!B:B,0,FALSE)</f>
        <v>2284</v>
      </c>
      <c r="AC37" s="100">
        <f>_xlfn.XLOOKUP(AB37,'Blade-Export_15-08-2022_cfrdata'!D:D,'Blade-Export_15-08-2022_cfrdata'!BV:BV,0,FALSE)</f>
        <v>9224.2000000000007</v>
      </c>
      <c r="AD37" s="101">
        <f t="shared" si="1"/>
        <v>0</v>
      </c>
    </row>
    <row r="38" spans="1:30" x14ac:dyDescent="0.3">
      <c r="A38" s="100" t="s">
        <v>235</v>
      </c>
      <c r="B38" s="100" t="s">
        <v>1042</v>
      </c>
      <c r="C38" s="101">
        <v>41064</v>
      </c>
      <c r="D38" s="101">
        <v>8758.75</v>
      </c>
      <c r="E38" s="101">
        <v>49822.75</v>
      </c>
      <c r="F38" s="101">
        <v>19300</v>
      </c>
      <c r="G38" s="101">
        <v>30522.75</v>
      </c>
      <c r="H38" s="101">
        <v>8689</v>
      </c>
      <c r="I38" s="100">
        <v>16379.28</v>
      </c>
      <c r="J38" s="101">
        <v>55591.03</v>
      </c>
      <c r="K38" s="100">
        <v>40438.36</v>
      </c>
      <c r="L38" s="101">
        <v>15152.669999999998</v>
      </c>
      <c r="M38" s="101">
        <v>8279.5</v>
      </c>
      <c r="N38" s="101">
        <v>23432.17</v>
      </c>
      <c r="O38" s="101">
        <v>11552</v>
      </c>
      <c r="P38" s="101">
        <v>11880.169999999998</v>
      </c>
      <c r="Q38" s="101" t="e">
        <v>#REF!</v>
      </c>
      <c r="R38" s="101">
        <v>20238.419999999998</v>
      </c>
      <c r="S38" s="101">
        <v>12306.279999999999</v>
      </c>
      <c r="T38" s="101">
        <v>7932.1399999999994</v>
      </c>
      <c r="U38" s="101">
        <v>8065.75</v>
      </c>
      <c r="V38" s="101">
        <v>15997.89</v>
      </c>
      <c r="W38" s="101">
        <f>_xlfn.XLOOKUP(A38,Sheet1!A:A,Sheet1!W:W,0,FALSE)</f>
        <v>4690.6000000000004</v>
      </c>
      <c r="X38" s="101">
        <f>_xlfn.XLOOKUP(A38,Sheet1!A:A,Sheet1!X:X,0,FALSE)</f>
        <v>11307.289999999999</v>
      </c>
      <c r="Y38" s="101">
        <f>_xlfn.XLOOKUP(A38,Sheet1!A:A,Sheet1!Y:Y,0,FALSE)</f>
        <v>7953.25</v>
      </c>
      <c r="Z38" s="101">
        <f t="shared" si="0"/>
        <v>19260.54</v>
      </c>
      <c r="AA38" s="101"/>
      <c r="AB38" s="581">
        <f>_xlfn.XLOOKUP(A38,'Carry Forward 2022'!A:A,'Carry Forward 2022'!B:B,0,FALSE)</f>
        <v>2454</v>
      </c>
      <c r="AC38" s="100">
        <f>_xlfn.XLOOKUP(AB38,'Blade-Export_15-08-2022_cfrdata'!D:D,'Blade-Export_15-08-2022_cfrdata'!BV:BV,0,FALSE)</f>
        <v>11307.29</v>
      </c>
      <c r="AD38" s="101">
        <f t="shared" si="1"/>
        <v>0</v>
      </c>
    </row>
    <row r="39" spans="1:30" x14ac:dyDescent="0.3">
      <c r="A39" s="108" t="s">
        <v>239</v>
      </c>
      <c r="B39" s="131" t="s">
        <v>1041</v>
      </c>
      <c r="C39" s="101">
        <v>0.34000000000014552</v>
      </c>
      <c r="D39" s="101">
        <v>7622.5</v>
      </c>
      <c r="E39" s="101">
        <v>7622.84</v>
      </c>
      <c r="F39" s="101">
        <v>7090</v>
      </c>
      <c r="G39" s="101">
        <v>532.84000000000015</v>
      </c>
      <c r="H39" s="101">
        <v>8016.25</v>
      </c>
      <c r="I39" s="100">
        <v>14459.7</v>
      </c>
      <c r="J39" s="101">
        <v>23008.79</v>
      </c>
      <c r="K39" s="100">
        <v>0</v>
      </c>
      <c r="L39" s="101">
        <v>23008.79</v>
      </c>
      <c r="M39" s="101">
        <v>8297.5</v>
      </c>
      <c r="N39" s="101">
        <v>31306.29</v>
      </c>
      <c r="O39" s="101">
        <v>8796</v>
      </c>
      <c r="P39" s="101">
        <v>22510.29</v>
      </c>
      <c r="Q39" s="101" t="e">
        <v>#REF!</v>
      </c>
      <c r="R39" s="101">
        <v>31156.54</v>
      </c>
      <c r="S39" s="101">
        <v>23208</v>
      </c>
      <c r="T39" s="101">
        <v>7948.5400000000009</v>
      </c>
      <c r="U39" s="101">
        <v>8646.25</v>
      </c>
      <c r="V39" s="101">
        <v>16594.79</v>
      </c>
      <c r="W39" s="101">
        <f>_xlfn.XLOOKUP(A39,Sheet1!A:A,Sheet1!W:W,0,FALSE)</f>
        <v>4328.050000000002</v>
      </c>
      <c r="X39" s="101">
        <f>_xlfn.XLOOKUP(A39,Sheet1!A:A,Sheet1!X:X,0,FALSE)</f>
        <v>12266.739999999998</v>
      </c>
      <c r="Y39" s="101">
        <f>_xlfn.XLOOKUP(A39,Sheet1!A:A,Sheet1!Y:Y,0,FALSE)</f>
        <v>8567.5</v>
      </c>
      <c r="Z39" s="101">
        <f t="shared" si="0"/>
        <v>20834.239999999998</v>
      </c>
      <c r="AA39" s="101"/>
      <c r="AB39" s="581">
        <f>_xlfn.XLOOKUP(A39,'Carry Forward 2022'!A:A,'Carry Forward 2022'!B:B,0,FALSE)</f>
        <v>2294</v>
      </c>
      <c r="AC39" s="100">
        <f>_xlfn.XLOOKUP(AB39,'Blade-Export_15-08-2022_cfrdata'!D:D,'Blade-Export_15-08-2022_cfrdata'!BV:BV,0,FALSE)</f>
        <v>12266.74</v>
      </c>
      <c r="AD39" s="101">
        <f t="shared" si="1"/>
        <v>0</v>
      </c>
    </row>
    <row r="40" spans="1:30" x14ac:dyDescent="0.3">
      <c r="A40" s="100" t="s">
        <v>243</v>
      </c>
      <c r="B40" s="100" t="s">
        <v>1040</v>
      </c>
      <c r="C40" s="101">
        <v>2595.25</v>
      </c>
      <c r="D40" s="101">
        <v>6542.5</v>
      </c>
      <c r="E40" s="101">
        <v>9137.75</v>
      </c>
      <c r="F40" s="101">
        <v>8122.62</v>
      </c>
      <c r="G40" s="101">
        <v>1015.1300000000001</v>
      </c>
      <c r="H40" s="101">
        <v>6542.5</v>
      </c>
      <c r="I40" s="100">
        <v>10254.6</v>
      </c>
      <c r="J40" s="101">
        <v>17812.23</v>
      </c>
      <c r="K40" s="100">
        <v>2546</v>
      </c>
      <c r="L40" s="101">
        <v>15266.23</v>
      </c>
      <c r="M40" s="101">
        <v>6508.75</v>
      </c>
      <c r="N40" s="101">
        <v>21774.98</v>
      </c>
      <c r="O40" s="101">
        <v>18149.55</v>
      </c>
      <c r="P40" s="101">
        <v>3625.4300000000003</v>
      </c>
      <c r="Q40" s="101" t="e">
        <v>#REF!</v>
      </c>
      <c r="R40" s="101">
        <v>10120.68</v>
      </c>
      <c r="S40" s="101">
        <v>2670</v>
      </c>
      <c r="T40" s="101">
        <v>7450.68</v>
      </c>
      <c r="U40" s="101">
        <v>6389.5</v>
      </c>
      <c r="V40" s="101">
        <v>13840.18</v>
      </c>
      <c r="W40" s="101">
        <f>_xlfn.XLOOKUP(A40,Sheet1!A:A,Sheet1!W:W,0,FALSE)</f>
        <v>0</v>
      </c>
      <c r="X40" s="101">
        <f>_xlfn.XLOOKUP(A40,Sheet1!A:A,Sheet1!X:X,0,FALSE)</f>
        <v>13840.18</v>
      </c>
      <c r="Y40" s="101">
        <f>_xlfn.XLOOKUP(A40,Sheet1!A:A,Sheet1!Y:Y,0,FALSE)</f>
        <v>6380.5</v>
      </c>
      <c r="Z40" s="101">
        <f t="shared" si="0"/>
        <v>20220.68</v>
      </c>
      <c r="AA40" s="101"/>
      <c r="AB40" s="581">
        <f>_xlfn.XLOOKUP(A40,'Carry Forward 2022'!A:A,'Carry Forward 2022'!B:B,0,FALSE)</f>
        <v>2486</v>
      </c>
      <c r="AC40" s="100">
        <f>_xlfn.XLOOKUP(AB40,'Blade-Export_15-08-2022_cfrdata'!D:D,'Blade-Export_15-08-2022_cfrdata'!BV:BV,0,FALSE)</f>
        <v>13840.18</v>
      </c>
      <c r="AD40" s="101">
        <f t="shared" si="1"/>
        <v>0</v>
      </c>
    </row>
    <row r="41" spans="1:30" x14ac:dyDescent="0.3">
      <c r="A41" s="100" t="s">
        <v>241</v>
      </c>
      <c r="B41" s="100" t="s">
        <v>1039</v>
      </c>
      <c r="C41" s="101">
        <v>20666.060000000001</v>
      </c>
      <c r="D41" s="101">
        <v>8736.25</v>
      </c>
      <c r="E41" s="101">
        <v>29402.31</v>
      </c>
      <c r="F41" s="101">
        <v>10191</v>
      </c>
      <c r="G41" s="101">
        <v>19211.310000000001</v>
      </c>
      <c r="H41" s="101">
        <v>8747.5</v>
      </c>
      <c r="I41" s="100">
        <v>16546.2</v>
      </c>
      <c r="J41" s="101">
        <v>44505.01</v>
      </c>
      <c r="K41" s="100">
        <v>12693.45</v>
      </c>
      <c r="L41" s="101">
        <v>31811.56</v>
      </c>
      <c r="M41" s="101">
        <v>8725</v>
      </c>
      <c r="N41" s="101">
        <v>40536.559999999998</v>
      </c>
      <c r="O41" s="101">
        <v>13776</v>
      </c>
      <c r="P41" s="101">
        <v>26760.559999999998</v>
      </c>
      <c r="Q41" s="101" t="e">
        <v>#REF!</v>
      </c>
      <c r="R41" s="101">
        <v>35508.06</v>
      </c>
      <c r="S41" s="101">
        <v>3212.55</v>
      </c>
      <c r="T41" s="101">
        <v>32295.51</v>
      </c>
      <c r="U41" s="101">
        <v>8736.25</v>
      </c>
      <c r="V41" s="101">
        <v>41031.759999999995</v>
      </c>
      <c r="W41" s="101">
        <f>_xlfn.XLOOKUP(A41,Sheet1!A:A,Sheet1!W:W,0,FALSE)</f>
        <v>15526.950000000004</v>
      </c>
      <c r="X41" s="101">
        <f>_xlfn.XLOOKUP(A41,Sheet1!A:A,Sheet1!X:X,0,FALSE)</f>
        <v>25504.80999999999</v>
      </c>
      <c r="Y41" s="101">
        <f>_xlfn.XLOOKUP(A41,Sheet1!A:A,Sheet1!Y:Y,0,FALSE)</f>
        <v>8736.25</v>
      </c>
      <c r="Z41" s="101">
        <f t="shared" si="0"/>
        <v>34241.05999999999</v>
      </c>
      <c r="AA41" s="101"/>
      <c r="AB41" s="581">
        <f>_xlfn.XLOOKUP(A41,'Carry Forward 2022'!A:A,'Carry Forward 2022'!B:B,0,FALSE)</f>
        <v>3435</v>
      </c>
      <c r="AC41" s="100">
        <f>_xlfn.XLOOKUP(AB41,'Blade-Export_15-08-2022_cfrdata'!D:D,'Blade-Export_15-08-2022_cfrdata'!BV:BV,0,FALSE)</f>
        <v>25504.81</v>
      </c>
      <c r="AD41" s="101">
        <f t="shared" si="1"/>
        <v>0</v>
      </c>
    </row>
    <row r="42" spans="1:30" x14ac:dyDescent="0.3">
      <c r="A42" s="100" t="s">
        <v>245</v>
      </c>
      <c r="B42" s="100" t="s">
        <v>1038</v>
      </c>
      <c r="C42" s="101"/>
      <c r="D42" s="101"/>
      <c r="E42" s="101"/>
      <c r="F42" s="101"/>
      <c r="G42" s="101"/>
      <c r="H42" s="101"/>
      <c r="J42" s="101"/>
      <c r="L42" s="101"/>
      <c r="M42" s="107">
        <v>8455</v>
      </c>
      <c r="N42" s="101">
        <v>8455</v>
      </c>
      <c r="O42" s="101">
        <v>0</v>
      </c>
      <c r="P42" s="101">
        <v>8455</v>
      </c>
      <c r="Q42" s="101" t="e">
        <v>#REF!</v>
      </c>
      <c r="R42" s="101">
        <v>16876.25</v>
      </c>
      <c r="S42" s="101">
        <v>10097.290000000001</v>
      </c>
      <c r="T42" s="101">
        <v>6778.9599999999991</v>
      </c>
      <c r="U42" s="101">
        <v>8488.75</v>
      </c>
      <c r="V42" s="101">
        <v>15267.71</v>
      </c>
      <c r="W42" s="101">
        <f>_xlfn.XLOOKUP(A42,Sheet1!A:A,Sheet1!W:W,0,FALSE)</f>
        <v>4785</v>
      </c>
      <c r="X42" s="101">
        <f>_xlfn.XLOOKUP(A42,Sheet1!A:A,Sheet1!X:X,0,FALSE)</f>
        <v>10482.709999999999</v>
      </c>
      <c r="Y42" s="101">
        <f>_xlfn.XLOOKUP(A42,Sheet1!A:A,Sheet1!Y:Y,0,FALSE)</f>
        <v>8455</v>
      </c>
      <c r="Z42" s="101">
        <f t="shared" si="0"/>
        <v>18937.71</v>
      </c>
      <c r="AA42" s="101"/>
      <c r="AB42" s="581">
        <f>_xlfn.XLOOKUP(A42,'Carry Forward 2022'!A:A,'Carry Forward 2022'!B:B,0,FALSE)</f>
        <v>2079</v>
      </c>
      <c r="AC42" s="100">
        <f>_xlfn.XLOOKUP(AB42,'Blade-Export_15-08-2022_cfrdata'!D:D,'Blade-Export_15-08-2022_cfrdata'!BV:BV,0,FALSE)</f>
        <v>10482.709999999999</v>
      </c>
      <c r="AD42" s="101">
        <f t="shared" si="1"/>
        <v>0</v>
      </c>
    </row>
    <row r="43" spans="1:30" x14ac:dyDescent="0.3">
      <c r="A43" s="100" t="s">
        <v>247</v>
      </c>
      <c r="B43" s="100" t="s">
        <v>1037</v>
      </c>
      <c r="C43" s="101">
        <v>19093.449999999997</v>
      </c>
      <c r="D43" s="101">
        <v>8992.75</v>
      </c>
      <c r="E43" s="101">
        <v>28086.199999999997</v>
      </c>
      <c r="F43" s="101"/>
      <c r="G43" s="101">
        <v>28086.199999999997</v>
      </c>
      <c r="H43" s="101">
        <v>9073.75</v>
      </c>
      <c r="I43" s="100">
        <v>17477.099999999999</v>
      </c>
      <c r="J43" s="101">
        <v>54637.049999999996</v>
      </c>
      <c r="K43" s="100">
        <v>32698.7</v>
      </c>
      <c r="L43" s="101">
        <v>21938.349999999995</v>
      </c>
      <c r="M43" s="101">
        <v>9044.5</v>
      </c>
      <c r="N43" s="101">
        <v>30982.849999999995</v>
      </c>
      <c r="O43" s="101">
        <v>29918.15</v>
      </c>
      <c r="P43" s="101">
        <v>1064.6999999999935</v>
      </c>
      <c r="Q43" s="101" t="e">
        <v>#REF!</v>
      </c>
      <c r="R43" s="101">
        <v>10030.449999999993</v>
      </c>
      <c r="S43" s="101">
        <v>2034.75</v>
      </c>
      <c r="T43" s="101">
        <v>7995.6999999999935</v>
      </c>
      <c r="U43" s="101">
        <v>8875.75</v>
      </c>
      <c r="V43" s="101">
        <v>16871.449999999993</v>
      </c>
      <c r="W43" s="101">
        <f>_xlfn.XLOOKUP(A43,Sheet1!A:A,Sheet1!W:W,0,FALSE)</f>
        <v>0</v>
      </c>
      <c r="X43" s="101">
        <f>_xlfn.XLOOKUP(A43,Sheet1!A:A,Sheet1!X:X,0,FALSE)</f>
        <v>16871.449999999993</v>
      </c>
      <c r="Y43" s="101">
        <f>_xlfn.XLOOKUP(A43,Sheet1!A:A,Sheet1!Y:Y,0,FALSE)</f>
        <v>8587.75</v>
      </c>
      <c r="Z43" s="101">
        <f t="shared" si="0"/>
        <v>25459.199999999993</v>
      </c>
      <c r="AA43" s="101"/>
      <c r="AB43" s="581">
        <f>_xlfn.XLOOKUP(A43,'Carry Forward 2022'!A:A,'Carry Forward 2022'!B:B,0,FALSE)</f>
        <v>2081</v>
      </c>
      <c r="AC43" s="100">
        <f>_xlfn.XLOOKUP(AB43,'Blade-Export_15-08-2022_cfrdata'!D:D,'Blade-Export_15-08-2022_cfrdata'!BV:BV,0,FALSE)</f>
        <v>16871.45</v>
      </c>
      <c r="AD43" s="101">
        <f t="shared" si="1"/>
        <v>0</v>
      </c>
    </row>
    <row r="44" spans="1:30" x14ac:dyDescent="0.3">
      <c r="A44" s="100" t="s">
        <v>249</v>
      </c>
      <c r="B44" s="116" t="s">
        <v>1036</v>
      </c>
      <c r="C44" s="101">
        <v>12599.300000000001</v>
      </c>
      <c r="D44" s="101">
        <v>8500</v>
      </c>
      <c r="E44" s="101">
        <v>21099.300000000003</v>
      </c>
      <c r="F44" s="101">
        <v>19060.52</v>
      </c>
      <c r="G44" s="101">
        <v>2038.7800000000025</v>
      </c>
      <c r="H44" s="101">
        <v>8511.25</v>
      </c>
      <c r="I44" s="100">
        <v>15872.1</v>
      </c>
      <c r="J44" s="101">
        <v>26422.130000000005</v>
      </c>
      <c r="K44" s="100">
        <v>0</v>
      </c>
      <c r="L44" s="101">
        <v>26422.130000000005</v>
      </c>
      <c r="M44" s="101">
        <v>8421.25</v>
      </c>
      <c r="N44" s="101">
        <v>34843.380000000005</v>
      </c>
      <c r="O44" s="101">
        <v>0</v>
      </c>
      <c r="P44" s="101">
        <v>34843.380000000005</v>
      </c>
      <c r="Q44" s="101" t="e">
        <v>#REF!</v>
      </c>
      <c r="R44" s="101">
        <v>43039.630000000005</v>
      </c>
      <c r="S44" s="101">
        <v>40658</v>
      </c>
      <c r="T44" s="101">
        <v>2381.6300000000047</v>
      </c>
      <c r="U44" s="101">
        <v>7757.5</v>
      </c>
      <c r="V44" s="101">
        <v>10139.130000000005</v>
      </c>
      <c r="W44" s="101">
        <f>_xlfn.XLOOKUP(A44,Sheet1!A:A,Sheet1!W:W,0,FALSE)</f>
        <v>0</v>
      </c>
      <c r="X44" s="101">
        <f>_xlfn.XLOOKUP(A44,Sheet1!A:A,Sheet1!X:X,0,FALSE)</f>
        <v>10139.130000000005</v>
      </c>
      <c r="Y44" s="101">
        <f>_xlfn.XLOOKUP(A44,Sheet1!A:A,Sheet1!Y:Y,0,FALSE)</f>
        <v>7622.5</v>
      </c>
      <c r="Z44" s="101">
        <f t="shared" si="0"/>
        <v>17761.630000000005</v>
      </c>
      <c r="AA44" s="101"/>
      <c r="AB44" s="581">
        <f>_xlfn.XLOOKUP(A44,'Carry Forward 2022'!A:A,'Carry Forward 2022'!B:B,0,FALSE)</f>
        <v>2296</v>
      </c>
      <c r="AC44" s="100">
        <f>_xlfn.XLOOKUP(AB44,'Blade-Export_15-08-2022_cfrdata'!D:D,'Blade-Export_15-08-2022_cfrdata'!BV:BV,0,FALSE)</f>
        <v>10139.129999999999</v>
      </c>
      <c r="AD44" s="101">
        <f t="shared" si="1"/>
        <v>0</v>
      </c>
    </row>
    <row r="45" spans="1:30" x14ac:dyDescent="0.3">
      <c r="A45" s="100" t="s">
        <v>251</v>
      </c>
      <c r="B45" s="100" t="s">
        <v>1035</v>
      </c>
      <c r="C45" s="101">
        <v>10536.14</v>
      </c>
      <c r="D45" s="101">
        <v>7699</v>
      </c>
      <c r="E45" s="101">
        <v>18235.14</v>
      </c>
      <c r="F45" s="101">
        <v>9206.59</v>
      </c>
      <c r="G45" s="101">
        <v>9028.5499999999993</v>
      </c>
      <c r="H45" s="101">
        <v>7802.5</v>
      </c>
      <c r="I45" s="100">
        <v>13849.8</v>
      </c>
      <c r="J45" s="101">
        <v>30680.85</v>
      </c>
      <c r="K45" s="100">
        <v>5753.48</v>
      </c>
      <c r="L45" s="101">
        <v>24927.37</v>
      </c>
      <c r="M45" s="101">
        <v>8016.25</v>
      </c>
      <c r="N45" s="101">
        <v>32943.619999999995</v>
      </c>
      <c r="O45" s="101">
        <v>25647.979999999996</v>
      </c>
      <c r="P45" s="101">
        <v>7295.6399999999994</v>
      </c>
      <c r="Q45" s="101" t="e">
        <v>#REF!</v>
      </c>
      <c r="R45" s="101">
        <v>15233.14</v>
      </c>
      <c r="S45" s="101">
        <v>14990.91</v>
      </c>
      <c r="T45" s="101">
        <v>242.22999999999956</v>
      </c>
      <c r="U45" s="101">
        <v>8038.75</v>
      </c>
      <c r="V45" s="101">
        <v>8280.98</v>
      </c>
      <c r="W45" s="101">
        <f>_xlfn.XLOOKUP(A45,Sheet1!A:A,Sheet1!W:W,0,FALSE)</f>
        <v>4294.6099999999997</v>
      </c>
      <c r="X45" s="101">
        <f>_xlfn.XLOOKUP(A45,Sheet1!A:A,Sheet1!X:X,0,FALSE)</f>
        <v>3986.37</v>
      </c>
      <c r="Y45" s="101">
        <f>_xlfn.XLOOKUP(A45,Sheet1!A:A,Sheet1!Y:Y,0,FALSE)</f>
        <v>7960</v>
      </c>
      <c r="Z45" s="101">
        <f t="shared" si="0"/>
        <v>11946.369999999999</v>
      </c>
      <c r="AA45" s="101"/>
      <c r="AB45" s="581">
        <f>_xlfn.XLOOKUP(A45,'Carry Forward 2022'!A:A,'Carry Forward 2022'!B:B,0,FALSE)</f>
        <v>2087</v>
      </c>
      <c r="AC45" s="100">
        <f>_xlfn.XLOOKUP(AB45,'Blade-Export_15-08-2022_cfrdata'!D:D,'Blade-Export_15-08-2022_cfrdata'!BV:BV,0,FALSE)</f>
        <v>3986.37</v>
      </c>
      <c r="AD45" s="101">
        <f t="shared" si="1"/>
        <v>0</v>
      </c>
    </row>
    <row r="46" spans="1:30" x14ac:dyDescent="0.3">
      <c r="A46" s="100" t="s">
        <v>253</v>
      </c>
      <c r="B46" s="100" t="s">
        <v>1034</v>
      </c>
      <c r="C46" s="101">
        <v>32267.71</v>
      </c>
      <c r="D46" s="101">
        <v>11618.5</v>
      </c>
      <c r="E46" s="101">
        <v>43886.21</v>
      </c>
      <c r="F46" s="101">
        <v>31273.46</v>
      </c>
      <c r="G46" s="101">
        <v>12612.75</v>
      </c>
      <c r="H46" s="101">
        <v>11726.5</v>
      </c>
      <c r="I46" s="100">
        <v>25046.28</v>
      </c>
      <c r="J46" s="101">
        <v>49385.53</v>
      </c>
      <c r="K46" s="100">
        <v>19653.400000000001</v>
      </c>
      <c r="L46" s="101">
        <v>29732.129999999997</v>
      </c>
      <c r="M46" s="101">
        <v>11584.75</v>
      </c>
      <c r="N46" s="101">
        <v>41316.879999999997</v>
      </c>
      <c r="O46" s="101">
        <v>5530.1</v>
      </c>
      <c r="P46" s="101">
        <v>35786.78</v>
      </c>
      <c r="Q46" s="101" t="e">
        <v>#REF!</v>
      </c>
      <c r="R46" s="101">
        <v>47297.279999999999</v>
      </c>
      <c r="S46" s="101">
        <v>28144</v>
      </c>
      <c r="T46" s="101">
        <v>19153.28</v>
      </c>
      <c r="U46" s="101">
        <v>11588.12</v>
      </c>
      <c r="V46" s="101">
        <v>30741.4</v>
      </c>
      <c r="W46" s="101">
        <f>_xlfn.XLOOKUP(A46,Sheet1!A:A,Sheet1!W:W,0,FALSE)</f>
        <v>11764.75</v>
      </c>
      <c r="X46" s="101">
        <f>_xlfn.XLOOKUP(A46,Sheet1!A:A,Sheet1!X:X,0,FALSE)</f>
        <v>18976.650000000001</v>
      </c>
      <c r="Y46" s="101">
        <f>_xlfn.XLOOKUP(A46,Sheet1!A:A,Sheet1!Y:Y,0,FALSE)</f>
        <v>11493.85</v>
      </c>
      <c r="Z46" s="101">
        <f t="shared" si="0"/>
        <v>30470.5</v>
      </c>
      <c r="AA46" s="101"/>
      <c r="AB46" s="581">
        <f>_xlfn.XLOOKUP(A46,'Carry Forward 2022'!A:A,'Carry Forward 2022'!B:B,0,FALSE)</f>
        <v>2466</v>
      </c>
      <c r="AC46" s="100">
        <f>_xlfn.XLOOKUP(AB46,'Blade-Export_15-08-2022_cfrdata'!D:D,'Blade-Export_15-08-2022_cfrdata'!BV:BV,0,FALSE)</f>
        <v>18976.650000000001</v>
      </c>
      <c r="AD46" s="101">
        <f t="shared" si="1"/>
        <v>0</v>
      </c>
    </row>
    <row r="47" spans="1:30" x14ac:dyDescent="0.3">
      <c r="A47" s="100" t="s">
        <v>257</v>
      </c>
      <c r="B47" s="100" t="s">
        <v>1033</v>
      </c>
      <c r="C47" s="101">
        <v>2999.5</v>
      </c>
      <c r="D47" s="101">
        <v>6556</v>
      </c>
      <c r="E47" s="101">
        <v>9555.5</v>
      </c>
      <c r="F47" s="101"/>
      <c r="G47" s="101">
        <v>9555.5</v>
      </c>
      <c r="H47" s="101">
        <v>6569.5</v>
      </c>
      <c r="I47" s="100">
        <v>10331.64</v>
      </c>
      <c r="J47" s="101">
        <v>26456.639999999999</v>
      </c>
      <c r="K47" s="100">
        <v>0</v>
      </c>
      <c r="L47" s="101">
        <v>26456.639999999999</v>
      </c>
      <c r="M47" s="101">
        <v>6574</v>
      </c>
      <c r="N47" s="101">
        <v>33030.639999999999</v>
      </c>
      <c r="O47" s="101">
        <v>0</v>
      </c>
      <c r="P47" s="101">
        <v>33030.639999999999</v>
      </c>
      <c r="Q47" s="101" t="e">
        <v>#REF!</v>
      </c>
      <c r="R47" s="101">
        <v>39556.49</v>
      </c>
      <c r="S47" s="101">
        <v>3856.82</v>
      </c>
      <c r="T47" s="101">
        <v>35699.67</v>
      </c>
      <c r="U47" s="101">
        <v>6221.88</v>
      </c>
      <c r="V47" s="101">
        <v>41921.549999999996</v>
      </c>
      <c r="W47" s="101">
        <f>_xlfn.XLOOKUP(A47,Sheet1!A:A,Sheet1!W:W,0,FALSE)</f>
        <v>7972.9399999999987</v>
      </c>
      <c r="X47" s="101">
        <f>_xlfn.XLOOKUP(A47,Sheet1!A:A,Sheet1!X:X,0,FALSE)</f>
        <v>33948.61</v>
      </c>
      <c r="Y47" s="101">
        <f>_xlfn.XLOOKUP(A47,Sheet1!A:A,Sheet1!Y:Y,0,FALSE)</f>
        <v>6250</v>
      </c>
      <c r="Z47" s="101">
        <f t="shared" si="0"/>
        <v>40198.61</v>
      </c>
      <c r="AA47" s="101"/>
      <c r="AB47" s="581">
        <f>_xlfn.XLOOKUP(A47,'Carry Forward 2022'!A:A,'Carry Forward 2022'!B:B,0,FALSE)</f>
        <v>2091</v>
      </c>
      <c r="AC47" s="100">
        <f>_xlfn.XLOOKUP(AB47,'Blade-Export_15-08-2022_cfrdata'!D:D,'Blade-Export_15-08-2022_cfrdata'!BV:BV,0,FALSE)</f>
        <v>33948.61</v>
      </c>
      <c r="AD47" s="101">
        <f t="shared" si="1"/>
        <v>0</v>
      </c>
    </row>
    <row r="48" spans="1:30" x14ac:dyDescent="0.3">
      <c r="A48" s="100" t="s">
        <v>259</v>
      </c>
      <c r="B48" s="100" t="s">
        <v>1032</v>
      </c>
      <c r="C48" s="101">
        <v>33106</v>
      </c>
      <c r="D48" s="101">
        <v>8401</v>
      </c>
      <c r="E48" s="101">
        <v>41507</v>
      </c>
      <c r="F48" s="101"/>
      <c r="G48" s="101">
        <v>41507</v>
      </c>
      <c r="H48" s="101">
        <v>8389.75</v>
      </c>
      <c r="I48" s="100">
        <v>15525.42</v>
      </c>
      <c r="J48" s="101">
        <v>65422.17</v>
      </c>
      <c r="K48" s="100">
        <v>8150</v>
      </c>
      <c r="L48" s="101">
        <v>57272.17</v>
      </c>
      <c r="M48" s="101">
        <v>8389.75</v>
      </c>
      <c r="N48" s="101">
        <v>65661.919999999998</v>
      </c>
      <c r="O48" s="101">
        <v>21909.71</v>
      </c>
      <c r="P48" s="101">
        <v>43752.21</v>
      </c>
      <c r="Q48" s="101" t="e">
        <v>#REF!</v>
      </c>
      <c r="R48" s="101">
        <v>52141.96</v>
      </c>
      <c r="S48" s="101">
        <v>19570</v>
      </c>
      <c r="T48" s="101">
        <v>32571.96</v>
      </c>
      <c r="U48" s="101">
        <v>8384.1200000000008</v>
      </c>
      <c r="V48" s="101">
        <v>40956.080000000002</v>
      </c>
      <c r="W48" s="101">
        <f>_xlfn.XLOOKUP(A48,Sheet1!A:A,Sheet1!W:W,0,FALSE)</f>
        <v>4481</v>
      </c>
      <c r="X48" s="101">
        <f>_xlfn.XLOOKUP(A48,Sheet1!A:A,Sheet1!X:X,0,FALSE)</f>
        <v>36475.08</v>
      </c>
      <c r="Y48" s="101">
        <f>_xlfn.XLOOKUP(A48,Sheet1!A:A,Sheet1!Y:Y,0,FALSE)</f>
        <v>8356</v>
      </c>
      <c r="Z48" s="101">
        <f t="shared" si="0"/>
        <v>44831.08</v>
      </c>
      <c r="AA48" s="101"/>
      <c r="AB48" s="581">
        <f>_xlfn.XLOOKUP(A48,'Carry Forward 2022'!A:A,'Carry Forward 2022'!B:B,0,FALSE)</f>
        <v>2093</v>
      </c>
      <c r="AC48" s="100">
        <f>_xlfn.XLOOKUP(AB48,'Blade-Export_15-08-2022_cfrdata'!D:D,'Blade-Export_15-08-2022_cfrdata'!BV:BV,0,FALSE)</f>
        <v>36475.08</v>
      </c>
      <c r="AD48" s="101">
        <f t="shared" si="1"/>
        <v>0</v>
      </c>
    </row>
    <row r="49" spans="1:30" x14ac:dyDescent="0.3">
      <c r="A49" s="100" t="s">
        <v>261</v>
      </c>
      <c r="B49" s="118" t="s">
        <v>1031</v>
      </c>
      <c r="C49" s="101">
        <v>84163</v>
      </c>
      <c r="D49" s="101">
        <v>9062.5</v>
      </c>
      <c r="E49" s="101">
        <v>93225.5</v>
      </c>
      <c r="F49" s="101">
        <v>93225.5</v>
      </c>
      <c r="G49" s="101">
        <v>0</v>
      </c>
      <c r="H49" s="101">
        <v>9377.5</v>
      </c>
      <c r="I49" s="100">
        <v>18343.8</v>
      </c>
      <c r="J49" s="101">
        <v>27721.3</v>
      </c>
      <c r="K49" s="100">
        <v>9377.5</v>
      </c>
      <c r="L49" s="101">
        <v>18343.8</v>
      </c>
      <c r="M49" s="101">
        <v>9377.5</v>
      </c>
      <c r="N49" s="101">
        <v>27721.3</v>
      </c>
      <c r="O49" s="101">
        <v>0</v>
      </c>
      <c r="P49" s="101">
        <v>27721.3</v>
      </c>
      <c r="Q49" s="101" t="e">
        <v>#REF!</v>
      </c>
      <c r="R49" s="101">
        <v>37121.300000000003</v>
      </c>
      <c r="S49" s="101">
        <v>18343</v>
      </c>
      <c r="T49" s="101">
        <v>18778.300000000003</v>
      </c>
      <c r="U49" s="101">
        <v>9400</v>
      </c>
      <c r="V49" s="101">
        <v>28178.300000000003</v>
      </c>
      <c r="W49" s="101">
        <f>_xlfn.XLOOKUP(A49,Sheet1!A:A,Sheet1!W:W,0,FALSE)</f>
        <v>0</v>
      </c>
      <c r="X49" s="101">
        <f>_xlfn.XLOOKUP(A49,Sheet1!A:A,Sheet1!X:X,0,FALSE)</f>
        <v>28178.300000000003</v>
      </c>
      <c r="Y49" s="101">
        <f>_xlfn.XLOOKUP(A49,Sheet1!A:A,Sheet1!Y:Y,0,FALSE)</f>
        <v>9411.25</v>
      </c>
      <c r="Z49" s="101">
        <f t="shared" si="0"/>
        <v>37589.550000000003</v>
      </c>
      <c r="AA49" s="101"/>
      <c r="AB49" s="581">
        <f>_xlfn.XLOOKUP(A49,'Carry Forward 2022'!A:A,'Carry Forward 2022'!B:B,0,FALSE)</f>
        <v>2092</v>
      </c>
      <c r="AC49" s="100">
        <f>_xlfn.XLOOKUP(AB49,'Blade-Export_15-08-2022_cfrdata'!D:D,'Blade-Export_15-08-2022_cfrdata'!BV:BV,0,FALSE)</f>
        <v>28178.3</v>
      </c>
      <c r="AD49" s="101">
        <f t="shared" si="1"/>
        <v>0</v>
      </c>
    </row>
    <row r="50" spans="1:30" x14ac:dyDescent="0.3">
      <c r="A50" s="100" t="s">
        <v>263</v>
      </c>
      <c r="B50" s="100" t="s">
        <v>1030</v>
      </c>
      <c r="C50" s="101">
        <v>-0.31000000000130967</v>
      </c>
      <c r="D50" s="101">
        <v>11053.75</v>
      </c>
      <c r="E50" s="101">
        <v>11053.439999999999</v>
      </c>
      <c r="F50" s="101">
        <v>9286</v>
      </c>
      <c r="G50" s="101">
        <v>1767.4399999999987</v>
      </c>
      <c r="H50" s="101">
        <v>11076.25</v>
      </c>
      <c r="I50" s="100">
        <v>23190.9</v>
      </c>
      <c r="J50" s="101">
        <v>36034.589999999997</v>
      </c>
      <c r="K50" s="100">
        <v>0</v>
      </c>
      <c r="L50" s="101">
        <v>36034.589999999997</v>
      </c>
      <c r="M50" s="101">
        <v>11053.75</v>
      </c>
      <c r="N50" s="101">
        <v>47088.34</v>
      </c>
      <c r="O50" s="101">
        <v>22592.69</v>
      </c>
      <c r="P50" s="101">
        <v>24495.649999999998</v>
      </c>
      <c r="Q50" s="101" t="e">
        <v>#REF!</v>
      </c>
      <c r="R50" s="101">
        <v>35886.899999999994</v>
      </c>
      <c r="S50" s="101">
        <v>24149.599999999999</v>
      </c>
      <c r="T50" s="101">
        <v>11737.299999999996</v>
      </c>
      <c r="U50" s="101">
        <v>11650</v>
      </c>
      <c r="V50" s="101">
        <v>23387.299999999996</v>
      </c>
      <c r="W50" s="101">
        <f>_xlfn.XLOOKUP(A50,Sheet1!A:A,Sheet1!W:W,0,FALSE)</f>
        <v>0</v>
      </c>
      <c r="X50" s="101">
        <f>_xlfn.XLOOKUP(A50,Sheet1!A:A,Sheet1!X:X,0,FALSE)</f>
        <v>23387.299999999996</v>
      </c>
      <c r="Y50" s="101">
        <f>_xlfn.XLOOKUP(A50,Sheet1!A:A,Sheet1!Y:Y,0,FALSE)</f>
        <v>11965</v>
      </c>
      <c r="Z50" s="101">
        <f t="shared" si="0"/>
        <v>35352.299999999996</v>
      </c>
      <c r="AA50" s="101"/>
      <c r="AB50" s="581">
        <f>_xlfn.XLOOKUP(A50,'Carry Forward 2022'!A:A,'Carry Forward 2022'!B:B,0,FALSE)</f>
        <v>2477</v>
      </c>
      <c r="AC50" s="100">
        <f>_xlfn.XLOOKUP(AB50,'Blade-Export_15-08-2022_cfrdata'!D:D,'Blade-Export_15-08-2022_cfrdata'!BV:BV,0,FALSE)</f>
        <v>23387.3</v>
      </c>
      <c r="AD50" s="101">
        <f t="shared" si="1"/>
        <v>0</v>
      </c>
    </row>
    <row r="51" spans="1:30" x14ac:dyDescent="0.3">
      <c r="A51" s="100" t="s">
        <v>267</v>
      </c>
      <c r="B51" s="100" t="s">
        <v>1029</v>
      </c>
      <c r="C51" s="101">
        <v>0</v>
      </c>
      <c r="D51" s="101">
        <v>6605.5</v>
      </c>
      <c r="E51" s="101">
        <v>6605.5</v>
      </c>
      <c r="F51" s="101">
        <v>6291</v>
      </c>
      <c r="G51" s="101">
        <v>314.5</v>
      </c>
      <c r="H51" s="101">
        <v>6601</v>
      </c>
      <c r="I51" s="100">
        <v>10421.52</v>
      </c>
      <c r="J51" s="101">
        <v>17337.02</v>
      </c>
      <c r="K51" s="100">
        <v>6916</v>
      </c>
      <c r="L51" s="101">
        <v>10421.02</v>
      </c>
      <c r="M51" s="101">
        <v>6679.75</v>
      </c>
      <c r="N51" s="101">
        <v>17100.77</v>
      </c>
      <c r="O51" s="101">
        <v>17100.77</v>
      </c>
      <c r="P51" s="101">
        <v>0</v>
      </c>
      <c r="Q51" s="101" t="e">
        <v>#REF!</v>
      </c>
      <c r="R51" s="101">
        <v>6621.25</v>
      </c>
      <c r="S51" s="101">
        <v>0</v>
      </c>
      <c r="T51" s="101">
        <v>6621.25</v>
      </c>
      <c r="U51" s="101">
        <v>6622.38</v>
      </c>
      <c r="V51" s="101">
        <v>13243.630000000001</v>
      </c>
      <c r="W51" s="101">
        <f>_xlfn.XLOOKUP(A51,Sheet1!A:A,Sheet1!W:W,0,FALSE)</f>
        <v>3695</v>
      </c>
      <c r="X51" s="101">
        <f>_xlfn.XLOOKUP(A51,Sheet1!A:A,Sheet1!X:X,0,FALSE)</f>
        <v>9548.630000000001</v>
      </c>
      <c r="Y51" s="101">
        <f>_xlfn.XLOOKUP(A51,Sheet1!A:A,Sheet1!Y:Y,0,FALSE)</f>
        <v>6524.5</v>
      </c>
      <c r="Z51" s="101">
        <f t="shared" si="0"/>
        <v>16073.130000000001</v>
      </c>
      <c r="AA51" s="101"/>
      <c r="AB51" s="581">
        <f>_xlfn.XLOOKUP(A51,'Carry Forward 2022'!A:A,'Carry Forward 2022'!B:B,0,FALSE)</f>
        <v>2099</v>
      </c>
      <c r="AC51" s="100">
        <f>_xlfn.XLOOKUP(AB51,'Blade-Export_15-08-2022_cfrdata'!D:D,'Blade-Export_15-08-2022_cfrdata'!BV:BV,0,FALSE)</f>
        <v>9548.6299999999992</v>
      </c>
      <c r="AD51" s="101">
        <f t="shared" si="1"/>
        <v>0</v>
      </c>
    </row>
    <row r="52" spans="1:30" x14ac:dyDescent="0.3">
      <c r="A52" s="100" t="s">
        <v>269</v>
      </c>
      <c r="B52" s="100" t="s">
        <v>1028</v>
      </c>
      <c r="C52" s="101">
        <v>5319.2600000000011</v>
      </c>
      <c r="D52" s="101">
        <v>8713.75</v>
      </c>
      <c r="E52" s="101">
        <v>14033.010000000002</v>
      </c>
      <c r="F52" s="101">
        <v>8520</v>
      </c>
      <c r="G52" s="101">
        <v>5513.010000000002</v>
      </c>
      <c r="H52" s="101">
        <v>8725</v>
      </c>
      <c r="I52" s="100">
        <v>16482</v>
      </c>
      <c r="J52" s="101">
        <v>30720.010000000002</v>
      </c>
      <c r="K52" s="100">
        <v>8812.75</v>
      </c>
      <c r="L52" s="101">
        <v>21907.260000000002</v>
      </c>
      <c r="M52" s="101">
        <v>8511.25</v>
      </c>
      <c r="N52" s="101">
        <v>30418.510000000002</v>
      </c>
      <c r="O52" s="117">
        <v>23730.38</v>
      </c>
      <c r="P52" s="101">
        <v>6688.130000000001</v>
      </c>
      <c r="Q52" s="101" t="e">
        <v>#REF!</v>
      </c>
      <c r="R52" s="101">
        <v>14861.880000000001</v>
      </c>
      <c r="S52" s="101">
        <v>11686</v>
      </c>
      <c r="T52" s="101">
        <v>3175.880000000001</v>
      </c>
      <c r="U52" s="101">
        <v>8027.5</v>
      </c>
      <c r="V52" s="101">
        <v>11203.380000000001</v>
      </c>
      <c r="W52" s="101">
        <f>_xlfn.XLOOKUP(A52,Sheet1!A:A,Sheet1!W:W,0,FALSE)</f>
        <v>0</v>
      </c>
      <c r="X52" s="101">
        <f>_xlfn.XLOOKUP(A52,Sheet1!A:A,Sheet1!X:X,0,FALSE)</f>
        <v>11203.380000000001</v>
      </c>
      <c r="Y52" s="101">
        <f>_xlfn.XLOOKUP(A52,Sheet1!A:A,Sheet1!Y:Y,0,FALSE)</f>
        <v>7971.25</v>
      </c>
      <c r="Z52" s="101">
        <f t="shared" si="0"/>
        <v>19174.63</v>
      </c>
      <c r="AA52" s="101"/>
      <c r="AB52" s="581">
        <f>_xlfn.XLOOKUP(A52,'Carry Forward 2022'!A:A,'Carry Forward 2022'!B:B,0,FALSE)</f>
        <v>2313</v>
      </c>
      <c r="AC52" s="100">
        <f>_xlfn.XLOOKUP(AB52,'Blade-Export_15-08-2022_cfrdata'!D:D,'Blade-Export_15-08-2022_cfrdata'!BV:BV,0,FALSE)</f>
        <v>11203.38</v>
      </c>
      <c r="AD52" s="101">
        <f t="shared" si="1"/>
        <v>0</v>
      </c>
    </row>
    <row r="53" spans="1:30" x14ac:dyDescent="0.3">
      <c r="A53" s="100" t="s">
        <v>271</v>
      </c>
      <c r="B53" s="100" t="s">
        <v>1027</v>
      </c>
      <c r="C53" s="101">
        <v>11968.149999999998</v>
      </c>
      <c r="D53" s="101">
        <v>6340</v>
      </c>
      <c r="E53" s="101">
        <v>18308.149999999998</v>
      </c>
      <c r="F53" s="101">
        <v>10539.22</v>
      </c>
      <c r="G53" s="101">
        <v>7768.9299999999985</v>
      </c>
      <c r="H53" s="101">
        <v>6351.25</v>
      </c>
      <c r="I53" s="100">
        <v>9708.9</v>
      </c>
      <c r="J53" s="101">
        <v>23829.079999999998</v>
      </c>
      <c r="K53" s="100">
        <v>7769.1</v>
      </c>
      <c r="L53" s="101">
        <v>16059.979999999998</v>
      </c>
      <c r="M53" s="101">
        <v>6328.75</v>
      </c>
      <c r="N53" s="101">
        <v>22388.729999999996</v>
      </c>
      <c r="O53" s="101">
        <v>2499.6</v>
      </c>
      <c r="P53" s="101">
        <v>19889.129999999997</v>
      </c>
      <c r="Q53" s="101" t="e">
        <v>#REF!</v>
      </c>
      <c r="R53" s="101">
        <v>26206.629999999997</v>
      </c>
      <c r="S53" s="101">
        <v>21880.25</v>
      </c>
      <c r="T53" s="101">
        <v>4326.3799999999974</v>
      </c>
      <c r="U53" s="101">
        <v>6266.88</v>
      </c>
      <c r="V53" s="101">
        <v>10593.259999999998</v>
      </c>
      <c r="W53" s="101">
        <f>_xlfn.XLOOKUP(A53,Sheet1!A:A,Sheet1!W:W,0,FALSE)</f>
        <v>2931.2400000000002</v>
      </c>
      <c r="X53" s="101">
        <f>_xlfn.XLOOKUP(A53,Sheet1!A:A,Sheet1!X:X,0,FALSE)</f>
        <v>7662.0199999999986</v>
      </c>
      <c r="Y53" s="101">
        <f>_xlfn.XLOOKUP(A53,Sheet1!A:A,Sheet1!Y:Y,0,FALSE)</f>
        <v>6171.25</v>
      </c>
      <c r="Z53" s="101">
        <f t="shared" si="0"/>
        <v>13833.269999999999</v>
      </c>
      <c r="AA53" s="101"/>
      <c r="AB53" s="581">
        <f>_xlfn.XLOOKUP(A53,'Carry Forward 2022'!A:A,'Carry Forward 2022'!B:B,0,FALSE)</f>
        <v>2438</v>
      </c>
      <c r="AC53" s="100">
        <f>_xlfn.XLOOKUP(AB53,'Blade-Export_15-08-2022_cfrdata'!D:D,'Blade-Export_15-08-2022_cfrdata'!BV:BV,0,FALSE)</f>
        <v>7662.02</v>
      </c>
      <c r="AD53" s="101">
        <f t="shared" si="1"/>
        <v>0</v>
      </c>
    </row>
    <row r="54" spans="1:30" x14ac:dyDescent="0.3">
      <c r="A54" s="100" t="s">
        <v>273</v>
      </c>
      <c r="B54" s="100" t="s">
        <v>1026</v>
      </c>
      <c r="C54" s="101">
        <v>18418</v>
      </c>
      <c r="D54" s="101">
        <v>6340</v>
      </c>
      <c r="E54" s="101">
        <v>24758</v>
      </c>
      <c r="F54" s="101"/>
      <c r="G54" s="101">
        <v>24758</v>
      </c>
      <c r="H54" s="101">
        <v>6333.25</v>
      </c>
      <c r="I54" s="100">
        <v>9657.5400000000009</v>
      </c>
      <c r="J54" s="101">
        <v>40748.79</v>
      </c>
      <c r="K54" s="100">
        <v>21895</v>
      </c>
      <c r="L54" s="101">
        <v>18853.79</v>
      </c>
      <c r="M54" s="101">
        <v>6355.3</v>
      </c>
      <c r="N54" s="101">
        <v>25209.09</v>
      </c>
      <c r="O54" s="101">
        <v>3668.56</v>
      </c>
      <c r="P54" s="101">
        <v>21540.53</v>
      </c>
      <c r="Q54" s="101" t="e">
        <v>#REF!</v>
      </c>
      <c r="R54" s="101">
        <v>27813.03</v>
      </c>
      <c r="S54" s="101">
        <v>6952.08</v>
      </c>
      <c r="T54" s="101">
        <v>20860.949999999997</v>
      </c>
      <c r="U54" s="101">
        <v>6243.25</v>
      </c>
      <c r="V54" s="101">
        <v>27104.199999999997</v>
      </c>
      <c r="W54" s="101">
        <f>_xlfn.XLOOKUP(A54,Sheet1!A:A,Sheet1!W:W,0,FALSE)</f>
        <v>0</v>
      </c>
      <c r="X54" s="101">
        <f>_xlfn.XLOOKUP(A54,Sheet1!A:A,Sheet1!X:X,0,FALSE)</f>
        <v>27104.199999999997</v>
      </c>
      <c r="Y54" s="101">
        <f>_xlfn.XLOOKUP(A54,Sheet1!A:A,Sheet1!Y:Y,0,FALSE)</f>
        <v>6299.5</v>
      </c>
      <c r="Z54" s="100">
        <f t="shared" si="0"/>
        <v>33403.699999999997</v>
      </c>
      <c r="AA54" s="101"/>
      <c r="AB54" s="581">
        <f>_xlfn.XLOOKUP(A54,'Carry Forward 2022'!A:A,'Carry Forward 2022'!B:B,0,FALSE)</f>
        <v>2429</v>
      </c>
      <c r="AC54" s="100">
        <f>_xlfn.XLOOKUP(AB54,'Blade-Export_15-08-2022_cfrdata'!D:D,'Blade-Export_15-08-2022_cfrdata'!BV:BV,0,FALSE)</f>
        <v>27104.2</v>
      </c>
      <c r="AD54" s="101">
        <f t="shared" si="1"/>
        <v>0</v>
      </c>
    </row>
    <row r="55" spans="1:30" x14ac:dyDescent="0.3">
      <c r="A55" s="100" t="s">
        <v>277</v>
      </c>
      <c r="B55" s="100" t="s">
        <v>1025</v>
      </c>
      <c r="C55" s="101">
        <v>84</v>
      </c>
      <c r="D55" s="101">
        <v>8680</v>
      </c>
      <c r="E55" s="101">
        <v>8764</v>
      </c>
      <c r="F55" s="101">
        <v>1392.18</v>
      </c>
      <c r="G55" s="101">
        <v>7371.82</v>
      </c>
      <c r="H55" s="101">
        <v>8657.5</v>
      </c>
      <c r="I55" s="100">
        <v>16289.4</v>
      </c>
      <c r="J55" s="101">
        <v>32318.720000000001</v>
      </c>
      <c r="K55" s="100">
        <v>2825</v>
      </c>
      <c r="L55" s="101">
        <v>29493.72</v>
      </c>
      <c r="M55" s="101">
        <v>8657.5</v>
      </c>
      <c r="N55" s="101">
        <v>38151.22</v>
      </c>
      <c r="O55" s="101">
        <v>31147.800000000003</v>
      </c>
      <c r="P55" s="101">
        <v>7003.4199999999983</v>
      </c>
      <c r="Q55" s="101" t="e">
        <v>#REF!</v>
      </c>
      <c r="R55" s="101">
        <v>15694.669999999998</v>
      </c>
      <c r="S55" s="101">
        <v>0</v>
      </c>
      <c r="T55" s="101">
        <v>15694.669999999998</v>
      </c>
      <c r="U55" s="101">
        <v>8668.75</v>
      </c>
      <c r="V55" s="101">
        <v>24363.42</v>
      </c>
      <c r="W55" s="101">
        <f>_xlfn.XLOOKUP(A55,Sheet1!A:A,Sheet1!W:W,0,FALSE)</f>
        <v>9910.2500000000018</v>
      </c>
      <c r="X55" s="101">
        <f>_xlfn.XLOOKUP(A55,Sheet1!A:A,Sheet1!X:X,0,FALSE)</f>
        <v>14453.169999999996</v>
      </c>
      <c r="Y55" s="101">
        <f>_xlfn.XLOOKUP(A55,Sheet1!A:A,Sheet1!Y:Y,0,FALSE)</f>
        <v>8702.5</v>
      </c>
      <c r="Z55" s="101">
        <f t="shared" si="0"/>
        <v>23155.67</v>
      </c>
      <c r="AA55" s="101"/>
      <c r="AB55" s="581">
        <f>_xlfn.XLOOKUP(A55,'Carry Forward 2022'!A:A,'Carry Forward 2022'!B:B,0,FALSE)</f>
        <v>2474</v>
      </c>
      <c r="AC55" s="100">
        <f>_xlfn.XLOOKUP(AB55,'Blade-Export_15-08-2022_cfrdata'!D:D,'Blade-Export_15-08-2022_cfrdata'!BV:BV,0,FALSE)</f>
        <v>14453.17</v>
      </c>
      <c r="AD55" s="101">
        <f t="shared" si="1"/>
        <v>0</v>
      </c>
    </row>
    <row r="56" spans="1:30" x14ac:dyDescent="0.3">
      <c r="A56" s="100" t="s">
        <v>279</v>
      </c>
      <c r="B56" s="100" t="s">
        <v>1024</v>
      </c>
      <c r="C56" s="101">
        <v>17472.919999999998</v>
      </c>
      <c r="D56" s="101">
        <v>8770</v>
      </c>
      <c r="E56" s="101">
        <v>26242.92</v>
      </c>
      <c r="F56" s="101"/>
      <c r="G56" s="101">
        <v>26242.92</v>
      </c>
      <c r="H56" s="101">
        <v>8826.25</v>
      </c>
      <c r="I56" s="100">
        <v>16770.900000000001</v>
      </c>
      <c r="J56" s="101">
        <v>51840.07</v>
      </c>
      <c r="K56" s="100">
        <v>3000</v>
      </c>
      <c r="L56" s="101">
        <v>48840.07</v>
      </c>
      <c r="M56" s="101">
        <v>8848.75</v>
      </c>
      <c r="N56" s="101">
        <v>57688.82</v>
      </c>
      <c r="O56" s="101">
        <v>16225.96</v>
      </c>
      <c r="P56" s="101">
        <v>41462.86</v>
      </c>
      <c r="Q56" s="101" t="e">
        <v>#REF!</v>
      </c>
      <c r="R56" s="101">
        <v>50142.86</v>
      </c>
      <c r="S56" s="101">
        <v>10286.790000000001</v>
      </c>
      <c r="T56" s="101">
        <v>39856.07</v>
      </c>
      <c r="U56" s="101">
        <v>8623.75</v>
      </c>
      <c r="V56" s="101">
        <v>48479.82</v>
      </c>
      <c r="W56" s="582">
        <f>_xlfn.XLOOKUP(A56,Sheet1!A:A,Sheet1!W:W,0,FALSE)-45580.18</f>
        <v>48479.82</v>
      </c>
      <c r="X56" s="582">
        <f>V56-W56</f>
        <v>0</v>
      </c>
      <c r="Y56" s="101">
        <f>_xlfn.XLOOKUP(A56,Sheet1!A:A,Sheet1!Y:Y,0,FALSE)</f>
        <v>8488.75</v>
      </c>
      <c r="Z56" s="101">
        <f t="shared" si="0"/>
        <v>8488.75</v>
      </c>
      <c r="AA56" s="101"/>
      <c r="AB56" s="581">
        <f>_xlfn.XLOOKUP(A56,'Carry Forward 2022'!A:A,'Carry Forward 2022'!B:B,0,FALSE)</f>
        <v>2288</v>
      </c>
      <c r="AC56" s="100">
        <f>_xlfn.XLOOKUP(AB56,'Blade-Export_15-08-2022_cfrdata'!D:D,'Blade-Export_15-08-2022_cfrdata'!BV:BV,0,FALSE)</f>
        <v>0</v>
      </c>
      <c r="AD56" s="101">
        <f t="shared" si="1"/>
        <v>0</v>
      </c>
    </row>
    <row r="57" spans="1:30" x14ac:dyDescent="0.3">
      <c r="A57" s="100" t="s">
        <v>283</v>
      </c>
      <c r="B57" s="116" t="s">
        <v>1023</v>
      </c>
      <c r="C57" s="101">
        <v>8871</v>
      </c>
      <c r="D57" s="101">
        <v>8997.25</v>
      </c>
      <c r="E57" s="101">
        <v>17868.25</v>
      </c>
      <c r="F57" s="101">
        <v>17868.25</v>
      </c>
      <c r="G57" s="101">
        <v>0</v>
      </c>
      <c r="H57" s="101">
        <v>9226.75</v>
      </c>
      <c r="I57" s="100">
        <v>17913.66</v>
      </c>
      <c r="J57" s="101">
        <v>27140.41</v>
      </c>
      <c r="K57" s="100">
        <v>0</v>
      </c>
      <c r="L57" s="101">
        <v>27140.41</v>
      </c>
      <c r="M57" s="101">
        <v>9231.25</v>
      </c>
      <c r="N57" s="101">
        <v>36371.660000000003</v>
      </c>
      <c r="O57" s="101">
        <v>27140</v>
      </c>
      <c r="P57" s="101">
        <v>9231.6600000000035</v>
      </c>
      <c r="Q57" s="101" t="e">
        <v>#REF!</v>
      </c>
      <c r="R57" s="101">
        <v>18431.410000000003</v>
      </c>
      <c r="S57" s="101">
        <v>9800</v>
      </c>
      <c r="T57" s="101">
        <v>8631.4100000000035</v>
      </c>
      <c r="U57" s="101">
        <v>9251.5</v>
      </c>
      <c r="V57" s="101">
        <v>17882.910000000003</v>
      </c>
      <c r="W57" s="101">
        <f>_xlfn.XLOOKUP(A57,Sheet1!A:A,Sheet1!W:W,0,FALSE)</f>
        <v>0</v>
      </c>
      <c r="X57" s="101">
        <f>_xlfn.XLOOKUP(A57,Sheet1!A:A,Sheet1!X:X,0,FALSE)</f>
        <v>17882.910000000003</v>
      </c>
      <c r="Y57" s="101">
        <f>_xlfn.XLOOKUP(A57,Sheet1!A:A,Sheet1!Y:Y,0,FALSE)</f>
        <v>8857.75</v>
      </c>
      <c r="Z57" s="101">
        <f t="shared" si="0"/>
        <v>26740.660000000003</v>
      </c>
      <c r="AA57" s="101"/>
      <c r="AB57" s="581">
        <f>_xlfn.XLOOKUP(A57,'Carry Forward 2022'!A:A,'Carry Forward 2022'!B:B,0,FALSE)</f>
        <v>2015</v>
      </c>
      <c r="AC57" s="100">
        <f>_xlfn.XLOOKUP(AB57,'Blade-Export_15-08-2022_cfrdata'!D:D,'Blade-Export_15-08-2022_cfrdata'!BV:BV,0,FALSE)</f>
        <v>17882.91</v>
      </c>
      <c r="AD57" s="101">
        <f t="shared" si="1"/>
        <v>0</v>
      </c>
    </row>
    <row r="58" spans="1:30" x14ac:dyDescent="0.3">
      <c r="A58" s="100" t="s">
        <v>287</v>
      </c>
      <c r="B58" s="100" t="s">
        <v>1022</v>
      </c>
      <c r="C58" s="101">
        <v>19341.459999999995</v>
      </c>
      <c r="D58" s="101">
        <v>11654.5</v>
      </c>
      <c r="E58" s="101">
        <v>30995.959999999995</v>
      </c>
      <c r="F58" s="101">
        <v>18807.080000000002</v>
      </c>
      <c r="G58" s="101">
        <v>12188.879999999994</v>
      </c>
      <c r="H58" s="101">
        <v>11722</v>
      </c>
      <c r="I58" s="100">
        <v>25033.439999999999</v>
      </c>
      <c r="J58" s="101">
        <v>48944.319999999992</v>
      </c>
      <c r="K58" s="100">
        <v>23910.880000000001</v>
      </c>
      <c r="L58" s="101">
        <v>25033.439999999991</v>
      </c>
      <c r="M58" s="101">
        <v>11985.25</v>
      </c>
      <c r="N58" s="101">
        <v>37018.689999999988</v>
      </c>
      <c r="O58" s="101">
        <v>36604.880000000005</v>
      </c>
      <c r="P58" s="101">
        <v>413.80999999998312</v>
      </c>
      <c r="Q58" s="101" t="e">
        <v>#REF!</v>
      </c>
      <c r="R58" s="101">
        <v>12430.559999999983</v>
      </c>
      <c r="S58" s="101">
        <v>0</v>
      </c>
      <c r="T58" s="101">
        <v>12430.559999999983</v>
      </c>
      <c r="U58" s="101">
        <v>11854.75</v>
      </c>
      <c r="V58" s="101">
        <v>24285.309999999983</v>
      </c>
      <c r="W58" s="101">
        <f>_xlfn.XLOOKUP(A58,Sheet1!A:A,Sheet1!W:W,0,FALSE)</f>
        <v>8629.4699999999993</v>
      </c>
      <c r="X58" s="101">
        <f>_xlfn.XLOOKUP(A58,Sheet1!A:A,Sheet1!X:X,0,FALSE)</f>
        <v>15655.839999999984</v>
      </c>
      <c r="Y58" s="101">
        <f>_xlfn.XLOOKUP(A58,Sheet1!A:A,Sheet1!Y:Y,0,FALSE)</f>
        <v>11519.5</v>
      </c>
      <c r="Z58" s="101">
        <f t="shared" si="0"/>
        <v>27175.339999999982</v>
      </c>
      <c r="AA58" s="101"/>
      <c r="AB58" s="581">
        <f>_xlfn.XLOOKUP(A58,'Carry Forward 2022'!A:A,'Carry Forward 2022'!B:B,0,FALSE)</f>
        <v>2005</v>
      </c>
      <c r="AC58" s="100">
        <f>_xlfn.XLOOKUP(AB58,'Blade-Export_15-08-2022_cfrdata'!D:D,'Blade-Export_15-08-2022_cfrdata'!BV:BV,0,FALSE)</f>
        <v>15655.84</v>
      </c>
      <c r="AD58" s="101">
        <f t="shared" si="1"/>
        <v>-1.6370904631912708E-11</v>
      </c>
    </row>
    <row r="59" spans="1:30" x14ac:dyDescent="0.3">
      <c r="A59" s="100" t="s">
        <v>289</v>
      </c>
      <c r="B59" s="100" t="s">
        <v>1021</v>
      </c>
      <c r="C59" s="101">
        <v>-0.42000000000189175</v>
      </c>
      <c r="D59" s="101">
        <v>8725</v>
      </c>
      <c r="E59" s="101">
        <v>8724.5799999999981</v>
      </c>
      <c r="F59" s="101">
        <v>7062.5</v>
      </c>
      <c r="G59" s="101">
        <v>1662.0799999999981</v>
      </c>
      <c r="H59" s="101">
        <v>8713.75</v>
      </c>
      <c r="I59" s="100">
        <v>16449.900000000001</v>
      </c>
      <c r="J59" s="101">
        <v>26825.73</v>
      </c>
      <c r="K59" s="100">
        <v>5432.5</v>
      </c>
      <c r="L59" s="101">
        <v>21393.23</v>
      </c>
      <c r="M59" s="101">
        <v>8680</v>
      </c>
      <c r="N59" s="101">
        <v>30073.23</v>
      </c>
      <c r="O59" s="101">
        <v>9597</v>
      </c>
      <c r="P59" s="101">
        <v>20476.23</v>
      </c>
      <c r="Q59" s="101" t="e">
        <v>#REF!</v>
      </c>
      <c r="R59" s="101">
        <v>29133.73</v>
      </c>
      <c r="S59" s="101">
        <v>21459.19</v>
      </c>
      <c r="T59" s="101">
        <v>7674.5400000000009</v>
      </c>
      <c r="U59" s="101">
        <v>8606.8799999999992</v>
      </c>
      <c r="V59" s="101">
        <v>16281.42</v>
      </c>
      <c r="W59" s="101">
        <f>_xlfn.XLOOKUP(A59,Sheet1!A:A,Sheet1!W:W,0,FALSE)</f>
        <v>0</v>
      </c>
      <c r="X59" s="101">
        <f>_xlfn.XLOOKUP(A59,Sheet1!A:A,Sheet1!X:X,0,FALSE)</f>
        <v>16281.42</v>
      </c>
      <c r="Y59" s="101">
        <f>_xlfn.XLOOKUP(A59,Sheet1!A:A,Sheet1!Y:Y,0,FALSE)</f>
        <v>8668.75</v>
      </c>
      <c r="Z59" s="101">
        <f t="shared" si="0"/>
        <v>24950.17</v>
      </c>
      <c r="AA59" s="101"/>
      <c r="AB59" s="581">
        <f>_xlfn.XLOOKUP(A59,'Carry Forward 2022'!A:A,'Carry Forward 2022'!B:B,0,FALSE)</f>
        <v>2118</v>
      </c>
      <c r="AC59" s="100">
        <f>_xlfn.XLOOKUP(AB59,'Blade-Export_15-08-2022_cfrdata'!D:D,'Blade-Export_15-08-2022_cfrdata'!BV:BV,0,FALSE)</f>
        <v>16281.42</v>
      </c>
      <c r="AD59" s="101">
        <f t="shared" si="1"/>
        <v>0</v>
      </c>
    </row>
    <row r="60" spans="1:30" x14ac:dyDescent="0.3">
      <c r="A60" s="133" t="s">
        <v>291</v>
      </c>
      <c r="B60" s="132" t="s">
        <v>1020</v>
      </c>
      <c r="C60" s="101">
        <v>12161.9</v>
      </c>
      <c r="D60" s="101">
        <v>7638.25</v>
      </c>
      <c r="E60" s="101">
        <v>19800.150000000001</v>
      </c>
      <c r="F60" s="101">
        <v>12116.18</v>
      </c>
      <c r="G60" s="101">
        <v>7683.9700000000012</v>
      </c>
      <c r="H60" s="101">
        <v>7546</v>
      </c>
      <c r="I60" s="100">
        <v>13117.92</v>
      </c>
      <c r="J60" s="101">
        <v>28347.89</v>
      </c>
      <c r="K60" s="100">
        <v>28347.89</v>
      </c>
      <c r="L60" s="101">
        <v>0</v>
      </c>
      <c r="M60" s="101">
        <v>7798.9</v>
      </c>
      <c r="N60" s="101">
        <v>7798.9</v>
      </c>
      <c r="O60" s="101">
        <v>7620</v>
      </c>
      <c r="P60" s="101">
        <v>178.89999999999964</v>
      </c>
      <c r="Q60" s="101" t="e">
        <v>#REF!</v>
      </c>
      <c r="R60" s="101">
        <v>7828.4</v>
      </c>
      <c r="S60" s="101">
        <v>0</v>
      </c>
      <c r="T60" s="101">
        <v>7828.4</v>
      </c>
      <c r="U60" s="101">
        <v>7697.88</v>
      </c>
      <c r="V60" s="101">
        <v>15526.279999999999</v>
      </c>
      <c r="W60" s="101">
        <f>_xlfn.XLOOKUP(A60,Sheet1!A:A,Sheet1!W:W,0,FALSE)</f>
        <v>0</v>
      </c>
      <c r="X60" s="101">
        <f>_xlfn.XLOOKUP(A60,Sheet1!A:A,Sheet1!X:X,0,FALSE)</f>
        <v>15526.279999999999</v>
      </c>
      <c r="Y60" s="101">
        <f>_xlfn.XLOOKUP(A60,Sheet1!A:A,Sheet1!Y:Y,0,FALSE)</f>
        <v>7782.25</v>
      </c>
      <c r="Z60" s="101">
        <f t="shared" si="0"/>
        <v>23308.53</v>
      </c>
      <c r="AA60" s="101"/>
      <c r="AB60" s="581">
        <f>_xlfn.XLOOKUP(A60,'Carry Forward 2022'!A:A,'Carry Forward 2022'!B:B,0,FALSE)</f>
        <v>2115</v>
      </c>
      <c r="AC60" s="100">
        <f>_xlfn.XLOOKUP(AB60,'Blade-Export_15-08-2022_cfrdata'!D:D,'Blade-Export_15-08-2022_cfrdata'!BV:BV,0,FALSE)</f>
        <v>15526.28</v>
      </c>
      <c r="AD60" s="101">
        <f t="shared" si="1"/>
        <v>0</v>
      </c>
    </row>
    <row r="61" spans="1:30" x14ac:dyDescent="0.3">
      <c r="A61" s="100" t="s">
        <v>293</v>
      </c>
      <c r="B61" s="119" t="s">
        <v>1019</v>
      </c>
      <c r="C61" s="101">
        <v>2998.3099999999995</v>
      </c>
      <c r="D61" s="101">
        <v>8574.25</v>
      </c>
      <c r="E61" s="101">
        <v>11572.56</v>
      </c>
      <c r="F61" s="101"/>
      <c r="G61" s="101">
        <v>11572.56</v>
      </c>
      <c r="H61" s="101">
        <v>8792.5</v>
      </c>
      <c r="I61" s="100">
        <v>16674.599999999999</v>
      </c>
      <c r="J61" s="101">
        <v>37039.659999999996</v>
      </c>
      <c r="K61" s="100">
        <v>7691.2</v>
      </c>
      <c r="L61" s="101">
        <v>29348.459999999995</v>
      </c>
      <c r="M61" s="101">
        <v>8648.5</v>
      </c>
      <c r="N61" s="101">
        <v>37996.959999999992</v>
      </c>
      <c r="O61" s="101">
        <v>26048.84</v>
      </c>
      <c r="P61" s="101">
        <v>11948.119999999992</v>
      </c>
      <c r="Q61" s="101" t="e">
        <v>#REF!</v>
      </c>
      <c r="R61" s="101">
        <v>20643.869999999992</v>
      </c>
      <c r="S61" s="101">
        <v>1093.45</v>
      </c>
      <c r="T61" s="101">
        <v>19550.419999999991</v>
      </c>
      <c r="U61" s="101">
        <v>8344.75</v>
      </c>
      <c r="V61" s="101">
        <v>27895.169999999991</v>
      </c>
      <c r="W61" s="101">
        <f>_xlfn.XLOOKUP(A61,Sheet1!A:A,Sheet1!W:W,0,FALSE)</f>
        <v>22521.82</v>
      </c>
      <c r="X61" s="101">
        <f>_xlfn.XLOOKUP(A61,Sheet1!A:A,Sheet1!X:X,0,FALSE)</f>
        <v>5373.3499999999913</v>
      </c>
      <c r="Y61" s="101">
        <f>_xlfn.XLOOKUP(A61,Sheet1!A:A,Sheet1!Y:Y,0,FALSE)</f>
        <v>8137.75</v>
      </c>
      <c r="Z61" s="101">
        <f t="shared" si="0"/>
        <v>13511.099999999991</v>
      </c>
      <c r="AA61" s="101"/>
      <c r="AB61" s="581">
        <f>_xlfn.XLOOKUP(A61,'Carry Forward 2022'!A:A,'Carry Forward 2022'!B:B,0,FALSE)</f>
        <v>2441</v>
      </c>
      <c r="AC61" s="100">
        <f>_xlfn.XLOOKUP(AB61,'Blade-Export_15-08-2022_cfrdata'!D:D,'Blade-Export_15-08-2022_cfrdata'!BV:BV,0,FALSE)</f>
        <v>5373.35</v>
      </c>
      <c r="AD61" s="101">
        <f t="shared" si="1"/>
        <v>-9.0949470177292824E-12</v>
      </c>
    </row>
    <row r="62" spans="1:30" x14ac:dyDescent="0.3">
      <c r="A62" s="100" t="s">
        <v>295</v>
      </c>
      <c r="B62" s="100" t="s">
        <v>1018</v>
      </c>
      <c r="C62" s="101">
        <v>11361.14</v>
      </c>
      <c r="D62" s="101">
        <v>6535.75</v>
      </c>
      <c r="E62" s="101">
        <v>17896.89</v>
      </c>
      <c r="F62" s="101">
        <v>11705</v>
      </c>
      <c r="G62" s="101">
        <v>6191.8899999999994</v>
      </c>
      <c r="H62" s="101">
        <v>6592</v>
      </c>
      <c r="I62" s="100">
        <v>10395.84</v>
      </c>
      <c r="J62" s="101">
        <v>23179.73</v>
      </c>
      <c r="K62" s="100">
        <v>12783.99</v>
      </c>
      <c r="L62" s="101">
        <v>10395.74</v>
      </c>
      <c r="M62" s="101">
        <v>6614.5</v>
      </c>
      <c r="N62" s="101">
        <v>17010.239999999998</v>
      </c>
      <c r="O62" s="101">
        <v>17010.239999999998</v>
      </c>
      <c r="P62" s="101">
        <v>0</v>
      </c>
      <c r="Q62" s="101" t="e">
        <v>#REF!</v>
      </c>
      <c r="R62" s="101">
        <v>6634.75</v>
      </c>
      <c r="S62" s="101">
        <v>4905</v>
      </c>
      <c r="T62" s="101">
        <v>1729.75</v>
      </c>
      <c r="U62" s="101">
        <v>6502</v>
      </c>
      <c r="V62" s="101">
        <v>8231.75</v>
      </c>
      <c r="W62" s="101">
        <f>_xlfn.XLOOKUP(A62,Sheet1!A:A,Sheet1!W:W,0,FALSE)</f>
        <v>0</v>
      </c>
      <c r="X62" s="101">
        <f>_xlfn.XLOOKUP(A62,Sheet1!A:A,Sheet1!X:X,0,FALSE)</f>
        <v>8231.75</v>
      </c>
      <c r="Y62" s="101">
        <f>_xlfn.XLOOKUP(A62,Sheet1!A:A,Sheet1!Y:Y,0,FALSE)</f>
        <v>6317.5</v>
      </c>
      <c r="Z62" s="101">
        <f t="shared" si="0"/>
        <v>14549.25</v>
      </c>
      <c r="AA62" s="101"/>
      <c r="AB62" s="581">
        <f>_xlfn.XLOOKUP(A62,'Carry Forward 2022'!A:A,'Carry Forward 2022'!B:B,0,FALSE)</f>
        <v>2321</v>
      </c>
      <c r="AC62" s="100">
        <f>_xlfn.XLOOKUP(AB62,'Blade-Export_15-08-2022_cfrdata'!D:D,'Blade-Export_15-08-2022_cfrdata'!BV:BV,0,FALSE)</f>
        <v>8231.75</v>
      </c>
      <c r="AD62" s="101">
        <f t="shared" si="1"/>
        <v>0</v>
      </c>
    </row>
    <row r="63" spans="1:30" x14ac:dyDescent="0.3">
      <c r="A63" s="100" t="s">
        <v>297</v>
      </c>
      <c r="B63" s="100" t="s">
        <v>1017</v>
      </c>
      <c r="C63" s="101">
        <v>18477.5</v>
      </c>
      <c r="D63" s="101">
        <v>8833</v>
      </c>
      <c r="E63" s="101">
        <v>27310.5</v>
      </c>
      <c r="F63" s="101">
        <v>27310.5</v>
      </c>
      <c r="G63" s="101">
        <v>0</v>
      </c>
      <c r="H63" s="101">
        <v>8574.25</v>
      </c>
      <c r="I63" s="100">
        <v>16051.86</v>
      </c>
      <c r="J63" s="101">
        <v>24626.11</v>
      </c>
      <c r="K63" s="100">
        <v>24626.11</v>
      </c>
      <c r="L63" s="101">
        <v>0</v>
      </c>
      <c r="M63" s="101">
        <v>8565.25</v>
      </c>
      <c r="N63" s="101">
        <v>8565.25</v>
      </c>
      <c r="O63" s="101">
        <v>0</v>
      </c>
      <c r="P63" s="101">
        <v>8565.25</v>
      </c>
      <c r="Q63" s="101" t="e">
        <v>#REF!</v>
      </c>
      <c r="R63" s="101">
        <v>17011.25</v>
      </c>
      <c r="S63" s="101">
        <v>12069.25</v>
      </c>
      <c r="T63" s="101">
        <v>4942</v>
      </c>
      <c r="U63" s="101">
        <v>8383</v>
      </c>
      <c r="V63" s="101">
        <v>13325</v>
      </c>
      <c r="W63" s="101">
        <f>_xlfn.XLOOKUP(A63,Sheet1!A:A,Sheet1!W:W,0,FALSE)</f>
        <v>0</v>
      </c>
      <c r="X63" s="101">
        <f>_xlfn.XLOOKUP(A63,Sheet1!A:A,Sheet1!X:X,0,FALSE)</f>
        <v>13325</v>
      </c>
      <c r="Y63" s="101">
        <f>_xlfn.XLOOKUP(A63,Sheet1!A:A,Sheet1!Y:Y,0,FALSE)</f>
        <v>7892.5</v>
      </c>
      <c r="Z63" s="101">
        <f t="shared" si="0"/>
        <v>21217.5</v>
      </c>
      <c r="AA63" s="101"/>
      <c r="AB63" s="581">
        <f>_xlfn.XLOOKUP(A63,'Carry Forward 2022'!A:A,'Carry Forward 2022'!B:B,0,FALSE)</f>
        <v>2189</v>
      </c>
      <c r="AC63" s="100">
        <f>_xlfn.XLOOKUP(AB63,'Blade-Export_15-08-2022_cfrdata'!D:D,'Blade-Export_15-08-2022_cfrdata'!BV:BV,0,FALSE)</f>
        <v>13325</v>
      </c>
      <c r="AD63" s="101">
        <f t="shared" si="1"/>
        <v>0</v>
      </c>
    </row>
    <row r="64" spans="1:30" x14ac:dyDescent="0.3">
      <c r="A64" s="100" t="s">
        <v>299</v>
      </c>
      <c r="B64" s="100" t="s">
        <v>1016</v>
      </c>
      <c r="C64" s="101">
        <v>0.2000000000007276</v>
      </c>
      <c r="D64" s="101">
        <v>9062.5</v>
      </c>
      <c r="E64" s="101">
        <v>9062.7000000000007</v>
      </c>
      <c r="F64" s="101">
        <v>9062.7000000000007</v>
      </c>
      <c r="G64" s="101">
        <v>0</v>
      </c>
      <c r="H64" s="101">
        <v>9040</v>
      </c>
      <c r="I64" s="100">
        <v>17380.8</v>
      </c>
      <c r="J64" s="101">
        <v>26420.799999999999</v>
      </c>
      <c r="K64" s="100">
        <v>0</v>
      </c>
      <c r="L64" s="101">
        <v>26420.799999999999</v>
      </c>
      <c r="M64" s="101">
        <v>9019.75</v>
      </c>
      <c r="N64" s="101">
        <v>35440.550000000003</v>
      </c>
      <c r="O64" s="101">
        <v>26690.98</v>
      </c>
      <c r="P64" s="101">
        <v>8749.5700000000033</v>
      </c>
      <c r="Q64" s="101" t="e">
        <v>#REF!</v>
      </c>
      <c r="R64" s="101">
        <v>17609.570000000003</v>
      </c>
      <c r="S64" s="101">
        <v>13241.109999999999</v>
      </c>
      <c r="T64" s="101">
        <v>4368.4600000000046</v>
      </c>
      <c r="U64" s="101">
        <v>8899.3799999999992</v>
      </c>
      <c r="V64" s="101">
        <v>13267.840000000004</v>
      </c>
      <c r="W64" s="101">
        <f>_xlfn.XLOOKUP(A64,Sheet1!A:A,Sheet1!W:W,0,FALSE)</f>
        <v>998.94000000000051</v>
      </c>
      <c r="X64" s="101">
        <f>_xlfn.XLOOKUP(A64,Sheet1!A:A,Sheet1!X:X,0,FALSE)</f>
        <v>12268.900000000003</v>
      </c>
      <c r="Y64" s="101">
        <f>_xlfn.XLOOKUP(A64,Sheet1!A:A,Sheet1!Y:Y,0,FALSE)</f>
        <v>8893.75</v>
      </c>
      <c r="Z64" s="101">
        <f t="shared" si="0"/>
        <v>21162.65</v>
      </c>
      <c r="AA64" s="101"/>
      <c r="AB64" s="581">
        <f>_xlfn.XLOOKUP(A64,'Carry Forward 2022'!A:A,'Carry Forward 2022'!B:B,0,FALSE)</f>
        <v>2119</v>
      </c>
      <c r="AC64" s="100">
        <f>_xlfn.XLOOKUP(AB64,'Blade-Export_15-08-2022_cfrdata'!D:D,'Blade-Export_15-08-2022_cfrdata'!BV:BV,0,FALSE)</f>
        <v>12268.9</v>
      </c>
      <c r="AD64" s="101">
        <f t="shared" si="1"/>
        <v>0</v>
      </c>
    </row>
    <row r="65" spans="1:30" x14ac:dyDescent="0.3">
      <c r="A65" s="100" t="s">
        <v>301</v>
      </c>
      <c r="B65" s="118" t="s">
        <v>1015</v>
      </c>
      <c r="C65" s="101">
        <v>8793</v>
      </c>
      <c r="D65" s="101">
        <v>8736.25</v>
      </c>
      <c r="E65" s="101">
        <v>17529.25</v>
      </c>
      <c r="F65" s="101">
        <v>17529.25</v>
      </c>
      <c r="G65" s="101">
        <v>0</v>
      </c>
      <c r="H65" s="101">
        <v>8736.25</v>
      </c>
      <c r="I65" s="100">
        <v>16514.099999999999</v>
      </c>
      <c r="J65" s="101">
        <v>25250.35</v>
      </c>
      <c r="K65" s="100">
        <v>0</v>
      </c>
      <c r="L65" s="101">
        <v>25250.35</v>
      </c>
      <c r="M65" s="101">
        <v>8725</v>
      </c>
      <c r="N65" s="101">
        <v>33975.35</v>
      </c>
      <c r="O65" s="101">
        <v>0</v>
      </c>
      <c r="P65" s="101">
        <v>33975.35</v>
      </c>
      <c r="Q65" s="101" t="e">
        <v>#REF!</v>
      </c>
      <c r="R65" s="101">
        <v>42722.85</v>
      </c>
      <c r="S65" s="101">
        <v>42000</v>
      </c>
      <c r="T65" s="101">
        <v>722.84999999999854</v>
      </c>
      <c r="U65" s="101">
        <v>8747.5</v>
      </c>
      <c r="V65" s="101">
        <v>9470.3499999999985</v>
      </c>
      <c r="W65" s="101">
        <f>_xlfn.XLOOKUP(A65,Sheet1!A:A,Sheet1!W:W,0,FALSE)</f>
        <v>0</v>
      </c>
      <c r="X65" s="101">
        <f>_xlfn.XLOOKUP(A65,Sheet1!A:A,Sheet1!X:X,0,FALSE)</f>
        <v>9470.3499999999985</v>
      </c>
      <c r="Y65" s="101">
        <f>_xlfn.XLOOKUP(A65,Sheet1!A:A,Sheet1!Y:Y,0,FALSE)</f>
        <v>8781.25</v>
      </c>
      <c r="Z65" s="101">
        <f t="shared" si="0"/>
        <v>18251.599999999999</v>
      </c>
      <c r="AA65" s="101"/>
      <c r="AB65" s="581">
        <f>_xlfn.XLOOKUP(A65,'Carry Forward 2022'!A:A,'Carry Forward 2022'!B:B,0,FALSE)</f>
        <v>2462</v>
      </c>
      <c r="AC65" s="100">
        <f>_xlfn.XLOOKUP(AB65,'Blade-Export_15-08-2022_cfrdata'!D:D,'Blade-Export_15-08-2022_cfrdata'!BV:BV,0,FALSE)</f>
        <v>9470.35</v>
      </c>
      <c r="AD65" s="101">
        <f t="shared" si="1"/>
        <v>0</v>
      </c>
    </row>
    <row r="66" spans="1:30" x14ac:dyDescent="0.3">
      <c r="A66" s="100" t="s">
        <v>305</v>
      </c>
      <c r="B66" s="116" t="s">
        <v>1014</v>
      </c>
      <c r="C66" s="101">
        <v>17003.84</v>
      </c>
      <c r="D66" s="101">
        <v>7195</v>
      </c>
      <c r="E66" s="101">
        <v>24198.84</v>
      </c>
      <c r="F66" s="101"/>
      <c r="G66" s="101">
        <v>24198.84</v>
      </c>
      <c r="H66" s="101">
        <v>7183.75</v>
      </c>
      <c r="I66" s="100">
        <v>12084.3</v>
      </c>
      <c r="J66" s="101">
        <v>43466.89</v>
      </c>
      <c r="K66" s="100">
        <v>24199</v>
      </c>
      <c r="L66" s="101">
        <v>19267.89</v>
      </c>
      <c r="M66" s="101">
        <v>7161.25</v>
      </c>
      <c r="N66" s="101">
        <v>26429.14</v>
      </c>
      <c r="O66" s="101">
        <v>0</v>
      </c>
      <c r="P66" s="101">
        <v>26429.14</v>
      </c>
      <c r="Q66" s="101" t="e">
        <v>#REF!</v>
      </c>
      <c r="R66" s="101">
        <v>33556.639999999999</v>
      </c>
      <c r="S66" s="101">
        <v>0</v>
      </c>
      <c r="T66" s="101">
        <v>33556.639999999999</v>
      </c>
      <c r="U66" s="101">
        <v>7172.5</v>
      </c>
      <c r="V66" s="101">
        <v>40729.14</v>
      </c>
      <c r="W66" s="101">
        <f>_xlfn.XLOOKUP(A66,Sheet1!A:A,Sheet1!W:W,0,FALSE)</f>
        <v>0</v>
      </c>
      <c r="X66" s="101">
        <f>_xlfn.XLOOKUP(A66,Sheet1!A:A,Sheet1!X:X,0,FALSE)</f>
        <v>40729.14</v>
      </c>
      <c r="Y66" s="101">
        <f>_xlfn.XLOOKUP(A66,Sheet1!A:A,Sheet1!Y:Y,0,FALSE)</f>
        <v>7116.25</v>
      </c>
      <c r="Z66" s="101">
        <f t="shared" si="0"/>
        <v>47845.39</v>
      </c>
      <c r="AA66" s="101"/>
      <c r="AB66" s="581">
        <f>_xlfn.XLOOKUP(A66,'Carry Forward 2022'!A:A,'Carry Forward 2022'!B:B,0,FALSE)</f>
        <v>2129</v>
      </c>
      <c r="AC66" s="100">
        <f>_xlfn.XLOOKUP(AB66,'Blade-Export_15-08-2022_cfrdata'!D:D,'Blade-Export_15-08-2022_cfrdata'!BV:BV,0,FALSE)</f>
        <v>40729.14</v>
      </c>
      <c r="AD66" s="101">
        <f t="shared" si="1"/>
        <v>0</v>
      </c>
    </row>
    <row r="67" spans="1:30" x14ac:dyDescent="0.3">
      <c r="A67" s="100" t="s">
        <v>307</v>
      </c>
      <c r="B67" s="118" t="s">
        <v>1013</v>
      </c>
      <c r="C67" s="101">
        <v>52800</v>
      </c>
      <c r="D67" s="101">
        <v>8185</v>
      </c>
      <c r="E67" s="101">
        <v>60985</v>
      </c>
      <c r="F67" s="101"/>
      <c r="G67" s="101">
        <v>60985</v>
      </c>
      <c r="H67" s="101">
        <v>8185</v>
      </c>
      <c r="I67" s="100">
        <v>14941.2</v>
      </c>
      <c r="J67" s="101">
        <v>84111.2</v>
      </c>
      <c r="K67" s="100">
        <v>0</v>
      </c>
      <c r="L67" s="101">
        <v>84111.2</v>
      </c>
      <c r="M67" s="101">
        <v>8173.75</v>
      </c>
      <c r="N67" s="101">
        <v>92284.95</v>
      </c>
      <c r="O67" s="101">
        <v>0</v>
      </c>
      <c r="P67" s="101">
        <v>92284.95</v>
      </c>
      <c r="Q67" s="101" t="e">
        <v>#REF!</v>
      </c>
      <c r="R67" s="101">
        <v>100436.2</v>
      </c>
      <c r="S67" s="101">
        <v>100436</v>
      </c>
      <c r="T67" s="101">
        <v>0.19999999999708962</v>
      </c>
      <c r="U67" s="101">
        <v>8095</v>
      </c>
      <c r="V67" s="101">
        <v>8095.1999999999971</v>
      </c>
      <c r="W67" s="101">
        <f>_xlfn.XLOOKUP(A67,Sheet1!A:A,Sheet1!W:W,0,FALSE)</f>
        <v>0</v>
      </c>
      <c r="X67" s="101">
        <f>_xlfn.XLOOKUP(A67,Sheet1!A:A,Sheet1!X:X,0,FALSE)</f>
        <v>8095.1999999999971</v>
      </c>
      <c r="Y67" s="101">
        <f>_xlfn.XLOOKUP(A67,Sheet1!A:A,Sheet1!Y:Y,0,FALSE)</f>
        <v>8151.25</v>
      </c>
      <c r="Z67" s="101">
        <f t="shared" ref="Z67:Z127" si="2">SUM(X67:Y67)</f>
        <v>16246.449999999997</v>
      </c>
      <c r="AA67" s="101"/>
      <c r="AB67" s="581">
        <f>_xlfn.XLOOKUP(A67,'Carry Forward 2022'!A:A,'Carry Forward 2022'!B:B,0,FALSE)</f>
        <v>2128</v>
      </c>
      <c r="AC67" s="100">
        <f>_xlfn.XLOOKUP(AB67,'Blade-Export_15-08-2022_cfrdata'!D:D,'Blade-Export_15-08-2022_cfrdata'!BV:BV,0,FALSE)</f>
        <v>8095.2</v>
      </c>
      <c r="AD67" s="101">
        <f t="shared" ref="AD67:AD130" si="3">X67-AC67</f>
        <v>0</v>
      </c>
    </row>
    <row r="68" spans="1:30" x14ac:dyDescent="0.3">
      <c r="A68" s="100" t="s">
        <v>309</v>
      </c>
      <c r="B68" s="100" t="s">
        <v>1012</v>
      </c>
      <c r="C68" s="101">
        <v>6072.9599999999973</v>
      </c>
      <c r="D68" s="101">
        <v>6700</v>
      </c>
      <c r="E68" s="101">
        <v>12772.959999999997</v>
      </c>
      <c r="F68" s="101">
        <v>8716.98</v>
      </c>
      <c r="G68" s="101">
        <v>4055.9799999999977</v>
      </c>
      <c r="H68" s="101">
        <v>7037.5</v>
      </c>
      <c r="I68" s="100">
        <v>11667</v>
      </c>
      <c r="J68" s="101">
        <v>22760.479999999996</v>
      </c>
      <c r="K68" s="100">
        <v>9114.0299999999988</v>
      </c>
      <c r="L68" s="101">
        <v>13646.449999999997</v>
      </c>
      <c r="M68" s="101">
        <v>7375</v>
      </c>
      <c r="N68" s="101">
        <v>21021.449999999997</v>
      </c>
      <c r="O68" s="101">
        <v>3608.68</v>
      </c>
      <c r="P68" s="101">
        <v>17412.769999999997</v>
      </c>
      <c r="Q68" s="101" t="e">
        <v>#REF!</v>
      </c>
      <c r="R68" s="101">
        <v>25114.019999999997</v>
      </c>
      <c r="S68" s="101">
        <v>3827.2</v>
      </c>
      <c r="T68" s="101">
        <v>21286.819999999996</v>
      </c>
      <c r="U68" s="101">
        <v>8050</v>
      </c>
      <c r="V68" s="101">
        <v>29336.819999999996</v>
      </c>
      <c r="W68" s="101">
        <f>_xlfn.XLOOKUP(A68,Sheet1!A:A,Sheet1!W:W,0,FALSE)</f>
        <v>0</v>
      </c>
      <c r="X68" s="101">
        <f>_xlfn.XLOOKUP(A68,Sheet1!A:A,Sheet1!X:X,0,FALSE)</f>
        <v>29336.819999999996</v>
      </c>
      <c r="Y68" s="101">
        <f>_xlfn.XLOOKUP(A68,Sheet1!A:A,Sheet1!Y:Y,0,FALSE)</f>
        <v>8398.75</v>
      </c>
      <c r="Z68" s="101">
        <f t="shared" si="2"/>
        <v>37735.569999999992</v>
      </c>
      <c r="AA68" s="101"/>
      <c r="AB68" s="581">
        <f>_xlfn.XLOOKUP(A68,'Carry Forward 2022'!A:A,'Carry Forward 2022'!B:B,0,FALSE)</f>
        <v>2420</v>
      </c>
      <c r="AC68" s="100">
        <f>_xlfn.XLOOKUP(AB68,'Blade-Export_15-08-2022_cfrdata'!D:D,'Blade-Export_15-08-2022_cfrdata'!BV:BV,0,FALSE)</f>
        <v>29336.82</v>
      </c>
      <c r="AD68" s="101">
        <f t="shared" si="3"/>
        <v>0</v>
      </c>
    </row>
    <row r="69" spans="1:30" x14ac:dyDescent="0.3">
      <c r="A69" s="100" t="s">
        <v>311</v>
      </c>
      <c r="B69" s="100" t="s">
        <v>1011</v>
      </c>
      <c r="C69" s="101">
        <v>32333</v>
      </c>
      <c r="D69" s="101">
        <v>7791.25</v>
      </c>
      <c r="E69" s="101">
        <v>40124.25</v>
      </c>
      <c r="F69" s="101"/>
      <c r="G69" s="101">
        <v>40124.25</v>
      </c>
      <c r="H69" s="101">
        <v>7991.5</v>
      </c>
      <c r="I69" s="100">
        <v>14389.08</v>
      </c>
      <c r="J69" s="101">
        <v>62504.83</v>
      </c>
      <c r="K69" s="100">
        <v>19065.66</v>
      </c>
      <c r="L69" s="101">
        <v>43439.17</v>
      </c>
      <c r="M69" s="101">
        <v>7903.75</v>
      </c>
      <c r="N69" s="101">
        <v>51342.92</v>
      </c>
      <c r="O69" s="101">
        <v>2019.02</v>
      </c>
      <c r="P69" s="101">
        <v>49323.9</v>
      </c>
      <c r="Q69" s="101" t="e">
        <v>#REF!</v>
      </c>
      <c r="R69" s="101">
        <v>57166.9</v>
      </c>
      <c r="S69" s="101">
        <v>10045</v>
      </c>
      <c r="T69" s="101">
        <v>47121.9</v>
      </c>
      <c r="U69" s="101">
        <v>7825</v>
      </c>
      <c r="V69" s="101">
        <v>54946.9</v>
      </c>
      <c r="W69" s="101">
        <f>_xlfn.XLOOKUP(A69,Sheet1!A:A,Sheet1!W:W,0,FALSE)</f>
        <v>1.8189894035458565E-12</v>
      </c>
      <c r="X69" s="101">
        <f>_xlfn.XLOOKUP(A69,Sheet1!A:A,Sheet1!X:X,0,FALSE)</f>
        <v>54946.9</v>
      </c>
      <c r="Y69" s="101">
        <f>_xlfn.XLOOKUP(A69,Sheet1!A:A,Sheet1!Y:Y,0,FALSE)</f>
        <v>7681</v>
      </c>
      <c r="Z69" s="101">
        <f t="shared" si="2"/>
        <v>62627.9</v>
      </c>
      <c r="AA69" s="101"/>
      <c r="AB69" s="581">
        <f>_xlfn.XLOOKUP(A69,'Carry Forward 2022'!A:A,'Carry Forward 2022'!B:B,0,FALSE)</f>
        <v>2004</v>
      </c>
      <c r="AC69" s="100">
        <f>_xlfn.XLOOKUP(AB69,'Blade-Export_15-08-2022_cfrdata'!D:D,'Blade-Export_15-08-2022_cfrdata'!BV:BV,0,FALSE)</f>
        <v>54946.9</v>
      </c>
      <c r="AD69" s="101">
        <f t="shared" si="3"/>
        <v>0</v>
      </c>
    </row>
    <row r="70" spans="1:30" x14ac:dyDescent="0.3">
      <c r="A70" s="100" t="s">
        <v>313</v>
      </c>
      <c r="B70" s="118" t="s">
        <v>1010</v>
      </c>
      <c r="C70" s="101">
        <v>16842.130000000005</v>
      </c>
      <c r="D70" s="101">
        <v>8747.5</v>
      </c>
      <c r="E70" s="101">
        <v>25589.630000000005</v>
      </c>
      <c r="F70" s="101">
        <v>18350</v>
      </c>
      <c r="G70" s="101">
        <v>7239.6300000000047</v>
      </c>
      <c r="H70" s="101">
        <v>8646.25</v>
      </c>
      <c r="I70" s="100">
        <v>16257.3</v>
      </c>
      <c r="J70" s="101">
        <v>32143.180000000004</v>
      </c>
      <c r="K70" s="100">
        <v>6570</v>
      </c>
      <c r="L70" s="101">
        <v>25573.180000000004</v>
      </c>
      <c r="M70" s="101">
        <v>8646.25</v>
      </c>
      <c r="N70" s="101">
        <v>34219.430000000008</v>
      </c>
      <c r="O70" s="101">
        <v>0</v>
      </c>
      <c r="P70" s="101">
        <v>34219.430000000008</v>
      </c>
      <c r="Q70" s="101" t="e">
        <v>#REF!</v>
      </c>
      <c r="R70" s="101">
        <v>42921.930000000008</v>
      </c>
      <c r="S70" s="101">
        <v>0</v>
      </c>
      <c r="T70" s="101">
        <v>42921.930000000008</v>
      </c>
      <c r="U70" s="101">
        <v>8668.75</v>
      </c>
      <c r="V70" s="101">
        <v>51590.680000000008</v>
      </c>
      <c r="W70" s="101">
        <f>_xlfn.XLOOKUP(A70,Sheet1!A:A,Sheet1!W:W,0,FALSE)</f>
        <v>0</v>
      </c>
      <c r="X70" s="101">
        <f>_xlfn.XLOOKUP(A70,Sheet1!A:A,Sheet1!X:X,0,FALSE)</f>
        <v>51590.680000000008</v>
      </c>
      <c r="Y70" s="101">
        <f>_xlfn.XLOOKUP(A70,Sheet1!A:A,Sheet1!Y:Y,0,FALSE)</f>
        <v>8578.75</v>
      </c>
      <c r="Z70" s="101">
        <f t="shared" si="2"/>
        <v>60169.430000000008</v>
      </c>
      <c r="AA70" s="101"/>
      <c r="AB70" s="581">
        <f>_xlfn.XLOOKUP(A70,'Carry Forward 2022'!A:A,'Carry Forward 2022'!B:B,0,FALSE)</f>
        <v>2133</v>
      </c>
      <c r="AC70" s="100">
        <f>_xlfn.XLOOKUP(AB70,'Blade-Export_15-08-2022_cfrdata'!D:D,'Blade-Export_15-08-2022_cfrdata'!BV:BV,0,FALSE)</f>
        <v>51590.68</v>
      </c>
      <c r="AD70" s="101">
        <f t="shared" si="3"/>
        <v>0</v>
      </c>
    </row>
    <row r="71" spans="1:30" x14ac:dyDescent="0.3">
      <c r="A71" s="100" t="s">
        <v>317</v>
      </c>
      <c r="B71" s="100" t="s">
        <v>1009</v>
      </c>
      <c r="C71" s="101">
        <v>7872.3600000000024</v>
      </c>
      <c r="D71" s="101">
        <v>9883.75</v>
      </c>
      <c r="E71" s="101">
        <v>17756.11</v>
      </c>
      <c r="F71" s="101">
        <v>6993.52</v>
      </c>
      <c r="G71" s="101">
        <v>10762.59</v>
      </c>
      <c r="H71" s="101">
        <v>10311.25</v>
      </c>
      <c r="I71" s="100">
        <v>21008.1</v>
      </c>
      <c r="J71" s="101">
        <v>42081.94</v>
      </c>
      <c r="K71" s="100">
        <v>18454.199999999997</v>
      </c>
      <c r="L71" s="101">
        <v>23627.740000000005</v>
      </c>
      <c r="M71" s="101">
        <v>10525</v>
      </c>
      <c r="N71" s="101">
        <v>34152.740000000005</v>
      </c>
      <c r="O71" s="101">
        <v>28252.670000000002</v>
      </c>
      <c r="P71" s="101">
        <v>5900.0700000000033</v>
      </c>
      <c r="Q71" s="101" t="e">
        <v>#REF!</v>
      </c>
      <c r="R71" s="101">
        <v>16773.820000000003</v>
      </c>
      <c r="S71" s="101">
        <v>12701.189999999999</v>
      </c>
      <c r="T71" s="101">
        <v>4072.6300000000047</v>
      </c>
      <c r="U71" s="101">
        <v>11132.5</v>
      </c>
      <c r="V71" s="101">
        <v>15205.130000000005</v>
      </c>
      <c r="W71" s="101">
        <f>_xlfn.XLOOKUP(A71,Sheet1!A:A,Sheet1!W:W,0,FALSE)</f>
        <v>0</v>
      </c>
      <c r="X71" s="101">
        <f>_xlfn.XLOOKUP(A71,Sheet1!A:A,Sheet1!X:X,0,FALSE)</f>
        <v>15205.130000000005</v>
      </c>
      <c r="Y71" s="101">
        <f>_xlfn.XLOOKUP(A71,Sheet1!A:A,Sheet1!Y:Y,0,FALSE)</f>
        <v>11121.25</v>
      </c>
      <c r="Z71" s="101">
        <f t="shared" si="2"/>
        <v>26326.380000000005</v>
      </c>
      <c r="AA71" s="101"/>
      <c r="AB71" s="581">
        <f>_xlfn.XLOOKUP(A71,'Carry Forward 2022'!A:A,'Carry Forward 2022'!B:B,0,FALSE)</f>
        <v>2246</v>
      </c>
      <c r="AC71" s="100">
        <f>_xlfn.XLOOKUP(AB71,'Blade-Export_15-08-2022_cfrdata'!D:D,'Blade-Export_15-08-2022_cfrdata'!BV:BV,0,FALSE)</f>
        <v>15205.13</v>
      </c>
      <c r="AD71" s="101">
        <f t="shared" si="3"/>
        <v>0</v>
      </c>
    </row>
    <row r="72" spans="1:30" x14ac:dyDescent="0.3">
      <c r="A72" s="133" t="s">
        <v>319</v>
      </c>
      <c r="B72" s="132" t="s">
        <v>1008</v>
      </c>
      <c r="C72" s="101">
        <v>6284</v>
      </c>
      <c r="D72" s="101">
        <v>6295</v>
      </c>
      <c r="E72" s="101">
        <v>12579</v>
      </c>
      <c r="F72" s="101"/>
      <c r="G72" s="101">
        <v>12579</v>
      </c>
      <c r="H72" s="101">
        <v>6317.5</v>
      </c>
      <c r="I72" s="100">
        <v>9612.6</v>
      </c>
      <c r="J72" s="101">
        <v>28509.1</v>
      </c>
      <c r="K72" s="100">
        <v>0</v>
      </c>
      <c r="L72" s="101">
        <v>28509.1</v>
      </c>
      <c r="M72" s="101">
        <v>6283.75</v>
      </c>
      <c r="N72" s="101">
        <v>34792.85</v>
      </c>
      <c r="O72" s="101">
        <v>0</v>
      </c>
      <c r="P72" s="101">
        <v>34792.85</v>
      </c>
      <c r="Q72" s="101" t="e">
        <v>#REF!</v>
      </c>
      <c r="R72" s="101">
        <v>41042.85</v>
      </c>
      <c r="S72" s="101">
        <v>0</v>
      </c>
      <c r="T72" s="101">
        <v>41042.85</v>
      </c>
      <c r="U72" s="101">
        <v>6227.5</v>
      </c>
      <c r="V72" s="101">
        <v>47270.35</v>
      </c>
      <c r="W72" s="101">
        <f>_xlfn.XLOOKUP(A72,Sheet1!A:A,Sheet1!W:W,0,FALSE)</f>
        <v>0</v>
      </c>
      <c r="X72" s="101">
        <f>_xlfn.XLOOKUP(A72,Sheet1!A:A,Sheet1!X:X,0,FALSE)</f>
        <v>47270.35</v>
      </c>
      <c r="Y72" s="101">
        <f>_xlfn.XLOOKUP(A72,Sheet1!A:A,Sheet1!Y:Y,0,FALSE)</f>
        <v>6328.75</v>
      </c>
      <c r="Z72" s="101">
        <f t="shared" si="2"/>
        <v>53599.1</v>
      </c>
      <c r="AA72" s="101"/>
      <c r="AB72" s="581">
        <f>_xlfn.XLOOKUP(A72,'Carry Forward 2022'!A:A,'Carry Forward 2022'!B:B,0,FALSE)</f>
        <v>2406</v>
      </c>
      <c r="AC72" s="100">
        <f>_xlfn.XLOOKUP(AB72,'Blade-Export_15-08-2022_cfrdata'!D:D,'Blade-Export_15-08-2022_cfrdata'!BV:BV,0,FALSE)</f>
        <v>47270.35</v>
      </c>
      <c r="AD72" s="101">
        <f t="shared" si="3"/>
        <v>0</v>
      </c>
    </row>
    <row r="73" spans="1:30" x14ac:dyDescent="0.3">
      <c r="A73" s="100" t="s">
        <v>321</v>
      </c>
      <c r="B73" s="100" t="s">
        <v>1007</v>
      </c>
      <c r="C73" s="101">
        <v>11897.989999999998</v>
      </c>
      <c r="D73" s="101">
        <v>6385</v>
      </c>
      <c r="E73" s="101">
        <v>18282.989999999998</v>
      </c>
      <c r="F73" s="101">
        <v>2043.65</v>
      </c>
      <c r="G73" s="101">
        <v>16239.339999999998</v>
      </c>
      <c r="H73" s="101">
        <v>6598.75</v>
      </c>
      <c r="I73" s="100">
        <v>10415.1</v>
      </c>
      <c r="J73" s="101">
        <v>33253.189999999995</v>
      </c>
      <c r="K73" s="100">
        <v>16560.400000000001</v>
      </c>
      <c r="L73" s="101">
        <v>16692.789999999994</v>
      </c>
      <c r="M73" s="101">
        <v>6733.75</v>
      </c>
      <c r="N73" s="101">
        <v>23426.539999999994</v>
      </c>
      <c r="O73" s="101">
        <v>10035.540000000001</v>
      </c>
      <c r="P73" s="101">
        <v>13390.999999999993</v>
      </c>
      <c r="Q73" s="101" t="e">
        <v>#REF!</v>
      </c>
      <c r="R73" s="101">
        <v>20405.999999999993</v>
      </c>
      <c r="S73" s="101">
        <v>0</v>
      </c>
      <c r="T73" s="101">
        <v>20405.999999999993</v>
      </c>
      <c r="U73" s="101">
        <v>7408.75</v>
      </c>
      <c r="V73" s="101">
        <v>27814.749999999993</v>
      </c>
      <c r="W73" s="101">
        <f>_xlfn.XLOOKUP(A73,Sheet1!A:A,Sheet1!W:W,0,FALSE)</f>
        <v>19276.229999999996</v>
      </c>
      <c r="X73" s="101">
        <f>_xlfn.XLOOKUP(A73,Sheet1!A:A,Sheet1!X:X,0,FALSE)</f>
        <v>8538.5199999999968</v>
      </c>
      <c r="Y73" s="101">
        <f>_xlfn.XLOOKUP(A73,Sheet1!A:A,Sheet1!Y:Y,0,FALSE)</f>
        <v>7453.75</v>
      </c>
      <c r="Z73" s="101">
        <f t="shared" si="2"/>
        <v>15992.269999999997</v>
      </c>
      <c r="AA73" s="101"/>
      <c r="AB73" s="581">
        <f>_xlfn.XLOOKUP(A73,'Carry Forward 2022'!A:A,'Carry Forward 2022'!B:B,0,FALSE)</f>
        <v>2416</v>
      </c>
      <c r="AC73" s="100">
        <f>_xlfn.XLOOKUP(AB73,'Blade-Export_15-08-2022_cfrdata'!D:D,'Blade-Export_15-08-2022_cfrdata'!BV:BV,0,FALSE)</f>
        <v>8538.52</v>
      </c>
      <c r="AD73" s="101">
        <f t="shared" si="3"/>
        <v>0</v>
      </c>
    </row>
    <row r="74" spans="1:30" x14ac:dyDescent="0.3">
      <c r="A74" s="100" t="s">
        <v>325</v>
      </c>
      <c r="B74" s="100" t="s">
        <v>1006</v>
      </c>
      <c r="C74" s="101">
        <v>7335</v>
      </c>
      <c r="D74" s="101">
        <v>7822.75</v>
      </c>
      <c r="E74" s="101">
        <v>15157.75</v>
      </c>
      <c r="F74" s="101"/>
      <c r="G74" s="101">
        <v>15157.75</v>
      </c>
      <c r="H74" s="101">
        <v>8142.25</v>
      </c>
      <c r="I74" s="100">
        <v>14819.22</v>
      </c>
      <c r="J74" s="101">
        <v>38119.22</v>
      </c>
      <c r="K74" s="100">
        <v>0</v>
      </c>
      <c r="L74" s="101">
        <v>38119.22</v>
      </c>
      <c r="M74" s="101">
        <v>8405.5</v>
      </c>
      <c r="N74" s="101">
        <v>46524.72</v>
      </c>
      <c r="O74" s="101">
        <v>0</v>
      </c>
      <c r="P74" s="101">
        <v>46524.72</v>
      </c>
      <c r="Q74" s="101" t="e">
        <v>#REF!</v>
      </c>
      <c r="R74" s="101">
        <v>55222.720000000001</v>
      </c>
      <c r="S74" s="101">
        <v>0</v>
      </c>
      <c r="T74" s="101">
        <v>55222.720000000001</v>
      </c>
      <c r="U74" s="101">
        <v>8653</v>
      </c>
      <c r="V74" s="101">
        <v>63875.72</v>
      </c>
      <c r="W74" s="101">
        <f>_xlfn.XLOOKUP(A74,Sheet1!A:A,Sheet1!W:W,0,FALSE)</f>
        <v>0</v>
      </c>
      <c r="X74" s="101">
        <f>_xlfn.XLOOKUP(A74,Sheet1!A:A,Sheet1!X:X,0,FALSE)</f>
        <v>63875.72</v>
      </c>
      <c r="Y74" s="101">
        <f>_xlfn.XLOOKUP(A74,Sheet1!A:A,Sheet1!Y:Y,0,FALSE)</f>
        <v>8639.5</v>
      </c>
      <c r="Z74" s="101">
        <f t="shared" si="2"/>
        <v>72515.22</v>
      </c>
      <c r="AA74" s="101"/>
      <c r="AB74" s="581">
        <f>_xlfn.XLOOKUP(A74,'Carry Forward 2022'!A:A,'Carry Forward 2022'!B:B,0,FALSE)</f>
        <v>2142</v>
      </c>
      <c r="AC74" s="100">
        <f>_xlfn.XLOOKUP(AB74,'Blade-Export_15-08-2022_cfrdata'!D:D,'Blade-Export_15-08-2022_cfrdata'!BV:BV,0,FALSE)</f>
        <v>63875.72</v>
      </c>
      <c r="AD74" s="101">
        <f t="shared" si="3"/>
        <v>0</v>
      </c>
    </row>
    <row r="75" spans="1:30" x14ac:dyDescent="0.3">
      <c r="A75" s="100" t="s">
        <v>327</v>
      </c>
      <c r="B75" s="100" t="s">
        <v>1005</v>
      </c>
      <c r="C75" s="101">
        <v>11582.400000000001</v>
      </c>
      <c r="D75" s="101">
        <v>9188.5</v>
      </c>
      <c r="E75" s="101">
        <v>20770.900000000001</v>
      </c>
      <c r="F75" s="101">
        <v>9304.27</v>
      </c>
      <c r="G75" s="101">
        <v>11466.630000000001</v>
      </c>
      <c r="H75" s="101">
        <v>9157</v>
      </c>
      <c r="I75" s="100">
        <v>17714.64</v>
      </c>
      <c r="J75" s="101">
        <v>38338.270000000004</v>
      </c>
      <c r="K75" s="100">
        <v>0</v>
      </c>
      <c r="L75" s="101">
        <v>38338.270000000004</v>
      </c>
      <c r="M75" s="101">
        <v>9141.25</v>
      </c>
      <c r="N75" s="101">
        <v>47479.520000000004</v>
      </c>
      <c r="O75" s="101">
        <v>7281</v>
      </c>
      <c r="P75" s="101">
        <v>40198.520000000004</v>
      </c>
      <c r="Q75" s="101" t="e">
        <v>#REF!</v>
      </c>
      <c r="R75" s="101">
        <v>49411.770000000004</v>
      </c>
      <c r="S75" s="101">
        <v>49411.770000000004</v>
      </c>
      <c r="T75" s="101">
        <v>0</v>
      </c>
      <c r="U75" s="101">
        <v>9143.5</v>
      </c>
      <c r="V75" s="101">
        <v>9143.5</v>
      </c>
      <c r="W75" s="101">
        <f>_xlfn.XLOOKUP(A75,Sheet1!A:A,Sheet1!W:W,0,FALSE)</f>
        <v>0</v>
      </c>
      <c r="X75" s="101">
        <f>_xlfn.XLOOKUP(A75,Sheet1!A:A,Sheet1!X:X,0,FALSE)</f>
        <v>9143.5</v>
      </c>
      <c r="Y75" s="101">
        <f>_xlfn.XLOOKUP(A75,Sheet1!A:A,Sheet1!Y:Y,0,FALSE)</f>
        <v>8992.75</v>
      </c>
      <c r="Z75" s="101">
        <f t="shared" si="2"/>
        <v>18136.25</v>
      </c>
      <c r="AA75" s="101"/>
      <c r="AB75" s="581">
        <f>_xlfn.XLOOKUP(A75,'Carry Forward 2022'!A:A,'Carry Forward 2022'!B:B,0,FALSE)</f>
        <v>2457</v>
      </c>
      <c r="AC75" s="100">
        <f>_xlfn.XLOOKUP(AB75,'Blade-Export_15-08-2022_cfrdata'!D:D,'Blade-Export_15-08-2022_cfrdata'!BV:BV,0,FALSE)</f>
        <v>9143.5</v>
      </c>
      <c r="AD75" s="101">
        <f t="shared" si="3"/>
        <v>0</v>
      </c>
    </row>
    <row r="76" spans="1:30" x14ac:dyDescent="0.3">
      <c r="A76" s="100" t="s">
        <v>329</v>
      </c>
      <c r="B76" s="119" t="s">
        <v>1004</v>
      </c>
      <c r="C76" s="101">
        <v>0</v>
      </c>
      <c r="D76" s="101">
        <v>7305.25</v>
      </c>
      <c r="E76" s="101">
        <v>7305.25</v>
      </c>
      <c r="F76" s="101">
        <v>7231</v>
      </c>
      <c r="G76" s="101">
        <v>74.25</v>
      </c>
      <c r="H76" s="101">
        <v>7937.5</v>
      </c>
      <c r="I76" s="100">
        <v>14235</v>
      </c>
      <c r="J76" s="101">
        <v>22246.75</v>
      </c>
      <c r="K76" s="100">
        <v>2840.3</v>
      </c>
      <c r="L76" s="101">
        <v>19406.45</v>
      </c>
      <c r="M76" s="101">
        <v>8117.5</v>
      </c>
      <c r="N76" s="101">
        <v>27523.95</v>
      </c>
      <c r="O76" s="101">
        <v>27206.75</v>
      </c>
      <c r="P76" s="101">
        <v>317.20000000000073</v>
      </c>
      <c r="Q76" s="101" t="e">
        <v>#REF!</v>
      </c>
      <c r="R76" s="101">
        <v>8401.85</v>
      </c>
      <c r="S76" s="101">
        <v>3548.7</v>
      </c>
      <c r="T76" s="101">
        <v>4853.1500000000005</v>
      </c>
      <c r="U76" s="101">
        <v>7701.25</v>
      </c>
      <c r="V76" s="101">
        <v>12554.400000000001</v>
      </c>
      <c r="W76" s="101">
        <f>_xlfn.XLOOKUP(A76,Sheet1!A:A,Sheet1!W:W,0,FALSE)</f>
        <v>3588.08</v>
      </c>
      <c r="X76" s="101">
        <f>_xlfn.XLOOKUP(A76,Sheet1!A:A,Sheet1!X:X,0,FALSE)</f>
        <v>8966.3200000000015</v>
      </c>
      <c r="Y76" s="101">
        <f>_xlfn.XLOOKUP(A76,Sheet1!A:A,Sheet1!Y:Y,0,FALSE)</f>
        <v>7588.75</v>
      </c>
      <c r="Z76" s="101">
        <f t="shared" si="2"/>
        <v>16555.07</v>
      </c>
      <c r="AA76" s="101"/>
      <c r="AB76" s="581">
        <f>_xlfn.XLOOKUP(A76,'Carry Forward 2022'!A:A,'Carry Forward 2022'!B:B,0,FALSE)</f>
        <v>2469</v>
      </c>
      <c r="AC76" s="100">
        <f>_xlfn.XLOOKUP(AB76,'Blade-Export_15-08-2022_cfrdata'!D:D,'Blade-Export_15-08-2022_cfrdata'!BV:BV,0,FALSE)</f>
        <v>8966.32</v>
      </c>
      <c r="AD76" s="101">
        <f t="shared" si="3"/>
        <v>0</v>
      </c>
    </row>
    <row r="77" spans="1:30" x14ac:dyDescent="0.3">
      <c r="A77" s="100" t="s">
        <v>35</v>
      </c>
      <c r="B77" s="100" t="s">
        <v>1003</v>
      </c>
      <c r="C77" s="101">
        <v>6807.32</v>
      </c>
      <c r="D77" s="101">
        <v>11416</v>
      </c>
      <c r="E77" s="101">
        <v>18223.32</v>
      </c>
      <c r="F77" s="101">
        <v>11975</v>
      </c>
      <c r="G77" s="101">
        <v>6248.32</v>
      </c>
      <c r="H77" s="101">
        <v>11416</v>
      </c>
      <c r="I77" s="100">
        <v>24160.32</v>
      </c>
      <c r="J77" s="101">
        <v>41824.639999999999</v>
      </c>
      <c r="K77" s="100">
        <v>7039.85</v>
      </c>
      <c r="L77" s="101">
        <v>34784.79</v>
      </c>
      <c r="M77" s="101">
        <v>11326</v>
      </c>
      <c r="N77" s="101">
        <v>46110.79</v>
      </c>
      <c r="O77" s="101">
        <v>34077.9</v>
      </c>
      <c r="P77" s="101">
        <v>12032.89</v>
      </c>
      <c r="Q77" s="101" t="e">
        <v>#REF!</v>
      </c>
      <c r="R77" s="101">
        <v>23433.14</v>
      </c>
      <c r="S77" s="101">
        <v>10150.91</v>
      </c>
      <c r="T77" s="101">
        <v>13282.23</v>
      </c>
      <c r="U77" s="101">
        <v>11479</v>
      </c>
      <c r="V77" s="101">
        <v>24761.23</v>
      </c>
      <c r="W77" s="101">
        <f>_xlfn.XLOOKUP(A77,Sheet1!A:A,Sheet1!W:W,0,FALSE)</f>
        <v>7553.7799999999988</v>
      </c>
      <c r="X77" s="101">
        <f>_xlfn.XLOOKUP(A77,Sheet1!A:A,Sheet1!X:X,0,FALSE)</f>
        <v>17207.45</v>
      </c>
      <c r="Y77" s="101">
        <f>_xlfn.XLOOKUP(A77,Sheet1!A:A,Sheet1!Y:Y,0,FALSE)</f>
        <v>11485.75</v>
      </c>
      <c r="Z77" s="101">
        <f t="shared" si="2"/>
        <v>28693.200000000001</v>
      </c>
      <c r="AA77" s="101"/>
      <c r="AB77" s="581">
        <f>_xlfn.XLOOKUP(A77,'Carry Forward 2022'!A:A,'Carry Forward 2022'!B:B,0,FALSE)</f>
        <v>3431</v>
      </c>
      <c r="AC77" s="100">
        <f>_xlfn.XLOOKUP(AB77,'Blade-Export_15-08-2022_cfrdata'!D:D,'Blade-Export_15-08-2022_cfrdata'!BV:BV,0,FALSE)</f>
        <v>17207.45</v>
      </c>
      <c r="AD77" s="101">
        <f t="shared" si="3"/>
        <v>0</v>
      </c>
    </row>
    <row r="78" spans="1:30" x14ac:dyDescent="0.3">
      <c r="A78" s="100" t="s">
        <v>371</v>
      </c>
      <c r="B78" s="100" t="s">
        <v>1002</v>
      </c>
      <c r="C78" s="101">
        <v>1200.9400000000005</v>
      </c>
      <c r="D78" s="101">
        <v>7631.5</v>
      </c>
      <c r="E78" s="101">
        <v>8832.44</v>
      </c>
      <c r="F78" s="101">
        <v>8062.5</v>
      </c>
      <c r="G78" s="101">
        <v>769.94000000000051</v>
      </c>
      <c r="H78" s="101">
        <v>8018.5</v>
      </c>
      <c r="I78" s="100">
        <v>14466.12</v>
      </c>
      <c r="J78" s="101">
        <v>23254.560000000001</v>
      </c>
      <c r="K78" s="100">
        <v>8788.44</v>
      </c>
      <c r="L78" s="101">
        <v>14466.12</v>
      </c>
      <c r="M78" s="101">
        <v>8747.5</v>
      </c>
      <c r="N78" s="101">
        <v>23213.620000000003</v>
      </c>
      <c r="O78" s="101">
        <v>23213.620000000003</v>
      </c>
      <c r="P78" s="101">
        <v>0</v>
      </c>
      <c r="Q78" s="101" t="e">
        <v>#REF!</v>
      </c>
      <c r="R78" s="101">
        <v>8774.5</v>
      </c>
      <c r="S78" s="101">
        <v>5275</v>
      </c>
      <c r="T78" s="101">
        <v>3499.5</v>
      </c>
      <c r="U78" s="101">
        <v>8424.6200000000008</v>
      </c>
      <c r="V78" s="101">
        <v>11924.12</v>
      </c>
      <c r="W78" s="582">
        <f>_xlfn.XLOOKUP(A78,Sheet1!A:A,Sheet1!W:W,0,FALSE)+1086</f>
        <v>0</v>
      </c>
      <c r="X78" s="582">
        <f>V78-W78</f>
        <v>11924.12</v>
      </c>
      <c r="Y78" s="101">
        <f>_xlfn.XLOOKUP(A78,Sheet1!A:A,Sheet1!Y:Y,0,FALSE)</f>
        <v>8155.75</v>
      </c>
      <c r="Z78" s="101">
        <f t="shared" si="2"/>
        <v>20079.870000000003</v>
      </c>
      <c r="AA78" s="101"/>
      <c r="AB78" s="581">
        <f>_xlfn.XLOOKUP(A78,'Carry Forward 2022'!A:A,'Carry Forward 2022'!B:B,0,FALSE)</f>
        <v>2018</v>
      </c>
      <c r="AC78" s="100">
        <f>_xlfn.XLOOKUP(AB78,'Blade-Export_15-08-2022_cfrdata'!D:D,'Blade-Export_15-08-2022_cfrdata'!BV:BV,0,FALSE)</f>
        <v>11924.12</v>
      </c>
      <c r="AD78" s="101">
        <f t="shared" si="3"/>
        <v>0</v>
      </c>
    </row>
    <row r="79" spans="1:30" x14ac:dyDescent="0.3">
      <c r="A79" s="100" t="s">
        <v>333</v>
      </c>
      <c r="B79" s="100" t="s">
        <v>1001</v>
      </c>
      <c r="C79" s="101">
        <v>17562</v>
      </c>
      <c r="D79" s="101">
        <v>6272.5</v>
      </c>
      <c r="E79" s="101">
        <v>23834.5</v>
      </c>
      <c r="F79" s="101"/>
      <c r="G79" s="101">
        <v>23834.5</v>
      </c>
      <c r="H79" s="101">
        <v>6531.25</v>
      </c>
      <c r="I79" s="100">
        <v>10222.5</v>
      </c>
      <c r="J79" s="101">
        <v>40588.25</v>
      </c>
      <c r="K79" s="100">
        <v>28772.879999999997</v>
      </c>
      <c r="L79" s="101">
        <v>11815.370000000003</v>
      </c>
      <c r="M79" s="101">
        <v>6981.25</v>
      </c>
      <c r="N79" s="101">
        <v>18796.620000000003</v>
      </c>
      <c r="O79" s="101">
        <v>14150</v>
      </c>
      <c r="P79" s="101">
        <v>4646.6200000000026</v>
      </c>
      <c r="Q79" s="121">
        <v>7251.25</v>
      </c>
      <c r="R79" s="101">
        <v>11897.870000000003</v>
      </c>
      <c r="S79" s="101">
        <v>2305.44</v>
      </c>
      <c r="T79" s="101">
        <v>9592.4300000000021</v>
      </c>
      <c r="U79" s="101"/>
      <c r="V79" s="101">
        <v>9592.4300000000021</v>
      </c>
      <c r="W79" s="101">
        <f>_xlfn.XLOOKUP(A79,Sheet1!A:A,Sheet1!W:W,0,FALSE)</f>
        <v>0</v>
      </c>
      <c r="X79" s="101">
        <f>V79-W79</f>
        <v>9592.4300000000021</v>
      </c>
      <c r="Y79" s="101">
        <f>_xlfn.XLOOKUP(A79,Sheet1!A:A,Sheet1!Y:Y,0,FALSE)</f>
        <v>0</v>
      </c>
      <c r="Z79" s="101">
        <f t="shared" si="2"/>
        <v>9592.4300000000021</v>
      </c>
      <c r="AA79" s="101"/>
      <c r="AB79" s="581">
        <f>_xlfn.XLOOKUP(A79,'Carry Forward 2022'!A:A,'Carry Forward 2022'!B:B,0,FALSE)</f>
        <v>2436</v>
      </c>
      <c r="AC79" s="100">
        <f>_xlfn.XLOOKUP(AB79,'Blade-Export_15-08-2022_cfrdata'!D:D,'Blade-Export_15-08-2022_cfrdata'!BV:BV,0,FALSE)</f>
        <v>0</v>
      </c>
      <c r="AD79" s="101">
        <f t="shared" si="3"/>
        <v>9592.4300000000021</v>
      </c>
    </row>
    <row r="80" spans="1:30" x14ac:dyDescent="0.3">
      <c r="A80" s="100" t="s">
        <v>341</v>
      </c>
      <c r="B80" s="116" t="s">
        <v>1000</v>
      </c>
      <c r="C80" s="101">
        <v>-0.38000000000101863</v>
      </c>
      <c r="D80" s="101">
        <v>7822.75</v>
      </c>
      <c r="E80" s="101">
        <v>7822.369999999999</v>
      </c>
      <c r="F80" s="101">
        <v>7822.37</v>
      </c>
      <c r="G80" s="101">
        <v>0</v>
      </c>
      <c r="H80" s="101">
        <v>8216.5</v>
      </c>
      <c r="I80" s="100">
        <v>15031.08</v>
      </c>
      <c r="J80" s="101">
        <v>23247.58</v>
      </c>
      <c r="K80" s="100">
        <v>0</v>
      </c>
      <c r="L80" s="101">
        <v>23247.58</v>
      </c>
      <c r="M80" s="101">
        <v>8511.25</v>
      </c>
      <c r="N80" s="101">
        <v>31758.83</v>
      </c>
      <c r="O80" s="101">
        <v>0</v>
      </c>
      <c r="P80" s="101">
        <v>31758.83</v>
      </c>
      <c r="Q80" s="101" t="e">
        <v>#REF!</v>
      </c>
      <c r="R80" s="101">
        <v>40351.08</v>
      </c>
      <c r="S80" s="101">
        <v>0</v>
      </c>
      <c r="T80" s="101">
        <v>40351.08</v>
      </c>
      <c r="U80" s="101">
        <v>8180.5</v>
      </c>
      <c r="V80" s="101">
        <v>48531.58</v>
      </c>
      <c r="W80" s="101">
        <f>_xlfn.XLOOKUP(A80,Sheet1!A:A,Sheet1!W:W,0,FALSE)</f>
        <v>13987.399999999998</v>
      </c>
      <c r="X80" s="101">
        <f>_xlfn.XLOOKUP(A80,Sheet1!A:A,Sheet1!X:X,0,FALSE)</f>
        <v>34544.180000000008</v>
      </c>
      <c r="Y80" s="101">
        <f>_xlfn.XLOOKUP(A80,Sheet1!A:A,Sheet1!Y:Y,0,FALSE)</f>
        <v>8039.88</v>
      </c>
      <c r="Z80" s="101">
        <f t="shared" si="2"/>
        <v>42584.060000000005</v>
      </c>
      <c r="AA80" s="101"/>
      <c r="AB80" s="581">
        <f>_xlfn.XLOOKUP(A80,'Carry Forward 2022'!A:A,'Carry Forward 2022'!B:B,0,FALSE)</f>
        <v>2021</v>
      </c>
      <c r="AC80" s="100">
        <f>_xlfn.XLOOKUP(AB80,'Blade-Export_15-08-2022_cfrdata'!D:D,'Blade-Export_15-08-2022_cfrdata'!BV:BV,0,FALSE)</f>
        <v>34544.18</v>
      </c>
      <c r="AD80" s="101">
        <f t="shared" si="3"/>
        <v>0</v>
      </c>
    </row>
    <row r="81" spans="1:30" x14ac:dyDescent="0.3">
      <c r="A81" s="100" t="s">
        <v>343</v>
      </c>
      <c r="B81" s="100" t="s">
        <v>999</v>
      </c>
      <c r="C81" s="101">
        <v>27518</v>
      </c>
      <c r="D81" s="101">
        <v>8122</v>
      </c>
      <c r="E81" s="101">
        <v>35640</v>
      </c>
      <c r="F81" s="101">
        <v>25172</v>
      </c>
      <c r="G81" s="101">
        <v>10468</v>
      </c>
      <c r="H81" s="101">
        <v>8414.5</v>
      </c>
      <c r="I81" s="100">
        <v>15596.04</v>
      </c>
      <c r="J81" s="101">
        <v>34478.54</v>
      </c>
      <c r="K81" s="100">
        <v>8203.5</v>
      </c>
      <c r="L81" s="101">
        <v>26275.040000000001</v>
      </c>
      <c r="M81" s="101">
        <v>8659.75</v>
      </c>
      <c r="N81" s="101">
        <v>34934.79</v>
      </c>
      <c r="O81" s="117">
        <v>14904.46</v>
      </c>
      <c r="P81" s="101">
        <v>20030.330000000002</v>
      </c>
      <c r="Q81" s="101" t="e">
        <v>#REF!</v>
      </c>
      <c r="R81" s="101">
        <v>28705.83</v>
      </c>
      <c r="S81" s="101">
        <v>8213.61</v>
      </c>
      <c r="T81" s="101">
        <v>20492.22</v>
      </c>
      <c r="U81" s="101">
        <v>8495.5</v>
      </c>
      <c r="V81" s="101">
        <v>28987.72</v>
      </c>
      <c r="W81" s="582">
        <f>_xlfn.XLOOKUP(A81,Sheet1!A:A,Sheet1!W:W,0,FALSE)+400</f>
        <v>0</v>
      </c>
      <c r="X81" s="582">
        <f>V81-W81</f>
        <v>28987.72</v>
      </c>
      <c r="Y81" s="101">
        <f>_xlfn.XLOOKUP(A81,Sheet1!A:A,Sheet1!Y:Y,0,FALSE)</f>
        <v>8313.25</v>
      </c>
      <c r="Z81" s="101">
        <f t="shared" si="2"/>
        <v>37300.97</v>
      </c>
      <c r="AA81" s="101"/>
      <c r="AB81" s="581">
        <f>_xlfn.XLOOKUP(A81,'Carry Forward 2022'!A:A,'Carry Forward 2022'!B:B,0,FALSE)</f>
        <v>2149</v>
      </c>
      <c r="AC81" s="100">
        <f>_xlfn.XLOOKUP(AB81,'Blade-Export_15-08-2022_cfrdata'!D:D,'Blade-Export_15-08-2022_cfrdata'!BV:BV,0,FALSE)</f>
        <v>28987.72</v>
      </c>
      <c r="AD81" s="101">
        <f t="shared" si="3"/>
        <v>0</v>
      </c>
    </row>
    <row r="82" spans="1:30" x14ac:dyDescent="0.3">
      <c r="A82" s="100" t="s">
        <v>345</v>
      </c>
      <c r="B82" s="100" t="s">
        <v>998</v>
      </c>
      <c r="C82" s="101">
        <v>11123.04</v>
      </c>
      <c r="D82" s="101">
        <v>10727.5</v>
      </c>
      <c r="E82" s="101">
        <v>21850.54</v>
      </c>
      <c r="F82" s="101"/>
      <c r="G82" s="101">
        <v>21850.54</v>
      </c>
      <c r="H82" s="101">
        <v>10759</v>
      </c>
      <c r="I82" s="100">
        <v>22285.68</v>
      </c>
      <c r="J82" s="101">
        <v>54895.22</v>
      </c>
      <c r="K82" s="100">
        <v>5820.24</v>
      </c>
      <c r="L82" s="101">
        <v>49074.98</v>
      </c>
      <c r="M82" s="101">
        <v>10243.75</v>
      </c>
      <c r="N82" s="101">
        <v>59318.73</v>
      </c>
      <c r="O82" s="101">
        <v>4153</v>
      </c>
      <c r="P82" s="101">
        <v>55165.73</v>
      </c>
      <c r="Q82" s="101" t="e">
        <v>#REF!</v>
      </c>
      <c r="R82" s="101">
        <v>64914.48</v>
      </c>
      <c r="S82" s="101">
        <v>2518.81</v>
      </c>
      <c r="T82" s="101">
        <v>62395.670000000006</v>
      </c>
      <c r="U82" s="101">
        <v>8996.1200000000008</v>
      </c>
      <c r="V82" s="101">
        <v>71391.790000000008</v>
      </c>
      <c r="W82" s="101">
        <f>_xlfn.XLOOKUP(A82,Sheet1!A:A,Sheet1!W:W,0,FALSE)</f>
        <v>1.8189894035458565E-12</v>
      </c>
      <c r="X82" s="101">
        <f>_xlfn.XLOOKUP(A82,Sheet1!A:A,Sheet1!X:X,0,FALSE)</f>
        <v>71391.790000000008</v>
      </c>
      <c r="Y82" s="101">
        <f>_xlfn.XLOOKUP(A82,Sheet1!A:A,Sheet1!Y:Y,0,FALSE)</f>
        <v>8390.8799999999992</v>
      </c>
      <c r="Z82" s="101">
        <f t="shared" si="2"/>
        <v>79782.670000000013</v>
      </c>
      <c r="AA82" s="101"/>
      <c r="AB82" s="581">
        <f>_xlfn.XLOOKUP(A82,'Carry Forward 2022'!A:A,'Carry Forward 2022'!B:B,0,FALSE)</f>
        <v>2150</v>
      </c>
      <c r="AC82" s="100">
        <f>_xlfn.XLOOKUP(AB82,'Blade-Export_15-08-2022_cfrdata'!D:D,'Blade-Export_15-08-2022_cfrdata'!BV:BV,0,FALSE)</f>
        <v>71391.789999999994</v>
      </c>
      <c r="AD82" s="101">
        <f t="shared" si="3"/>
        <v>0</v>
      </c>
    </row>
    <row r="83" spans="1:30" x14ac:dyDescent="0.3">
      <c r="A83" s="100" t="s">
        <v>347</v>
      </c>
      <c r="B83" s="119" t="s">
        <v>997</v>
      </c>
      <c r="C83" s="101">
        <v>134.35000000000036</v>
      </c>
      <c r="D83" s="101">
        <v>6362.5</v>
      </c>
      <c r="E83" s="101">
        <v>6496.85</v>
      </c>
      <c r="F83" s="101">
        <v>6496.85</v>
      </c>
      <c r="G83" s="101">
        <v>0</v>
      </c>
      <c r="H83" s="101">
        <v>6362.5</v>
      </c>
      <c r="I83" s="100">
        <v>9741</v>
      </c>
      <c r="J83" s="101">
        <v>16103.5</v>
      </c>
      <c r="K83" s="100">
        <v>0</v>
      </c>
      <c r="L83" s="101">
        <v>16103.5</v>
      </c>
      <c r="M83" s="101">
        <v>6362.5</v>
      </c>
      <c r="N83" s="101">
        <v>22466</v>
      </c>
      <c r="O83" s="101">
        <v>0</v>
      </c>
      <c r="P83" s="101">
        <v>22466</v>
      </c>
      <c r="Q83" s="101" t="e">
        <v>#REF!</v>
      </c>
      <c r="R83" s="101">
        <v>28839.75</v>
      </c>
      <c r="S83" s="101">
        <v>0</v>
      </c>
      <c r="T83" s="101">
        <v>28839.75</v>
      </c>
      <c r="U83" s="101">
        <v>6385</v>
      </c>
      <c r="V83" s="101">
        <v>35224.75</v>
      </c>
      <c r="W83" s="101">
        <f>_xlfn.XLOOKUP(A83,Sheet1!A:A,Sheet1!W:W,0,FALSE)</f>
        <v>0</v>
      </c>
      <c r="X83" s="101">
        <f>_xlfn.XLOOKUP(A83,Sheet1!A:A,Sheet1!X:X,0,FALSE)</f>
        <v>35224.75</v>
      </c>
      <c r="Y83" s="101">
        <f>_xlfn.XLOOKUP(A83,Sheet1!A:A,Sheet1!Y:Y,0,FALSE)</f>
        <v>6373.75</v>
      </c>
      <c r="Z83" s="101">
        <f t="shared" si="2"/>
        <v>41598.5</v>
      </c>
      <c r="AA83" s="101"/>
      <c r="AB83" s="581">
        <f>_xlfn.XLOOKUP(A83,'Carry Forward 2022'!A:A,'Carry Forward 2022'!B:B,0,FALSE)</f>
        <v>2425</v>
      </c>
      <c r="AC83" s="100">
        <f>_xlfn.XLOOKUP(AB83,'Blade-Export_15-08-2022_cfrdata'!D:D,'Blade-Export_15-08-2022_cfrdata'!BV:BV,0,FALSE)</f>
        <v>35224.75</v>
      </c>
      <c r="AD83" s="101">
        <f t="shared" si="3"/>
        <v>0</v>
      </c>
    </row>
    <row r="84" spans="1:30" ht="15.6" customHeight="1" x14ac:dyDescent="0.3">
      <c r="A84" s="100" t="s">
        <v>353</v>
      </c>
      <c r="B84" s="118" t="s">
        <v>996</v>
      </c>
      <c r="C84" s="101">
        <v>0</v>
      </c>
      <c r="D84" s="101">
        <v>7051</v>
      </c>
      <c r="E84" s="101">
        <v>7051</v>
      </c>
      <c r="F84" s="101"/>
      <c r="G84" s="101">
        <v>7051</v>
      </c>
      <c r="H84" s="101">
        <v>7008.25</v>
      </c>
      <c r="I84" s="100">
        <v>11583.54</v>
      </c>
      <c r="J84" s="101">
        <v>25642.79</v>
      </c>
      <c r="K84" s="100">
        <v>0</v>
      </c>
      <c r="L84" s="101">
        <v>25642.79</v>
      </c>
      <c r="M84" s="101">
        <v>6704.5</v>
      </c>
      <c r="N84" s="101">
        <v>32347.29</v>
      </c>
      <c r="O84" s="101">
        <v>0</v>
      </c>
      <c r="P84" s="101">
        <v>32347.29</v>
      </c>
      <c r="Q84" s="101" t="e">
        <v>#REF!</v>
      </c>
      <c r="R84" s="101">
        <v>38849.29</v>
      </c>
      <c r="S84" s="101">
        <v>0</v>
      </c>
      <c r="T84" s="101">
        <v>38849.29</v>
      </c>
      <c r="U84" s="101">
        <v>6553.75</v>
      </c>
      <c r="V84" s="101">
        <v>45403.040000000001</v>
      </c>
      <c r="W84" s="101">
        <f>_xlfn.XLOOKUP(A84,Sheet1!A:A,Sheet1!W:W,0,FALSE)</f>
        <v>0</v>
      </c>
      <c r="X84" s="101">
        <f>_xlfn.XLOOKUP(A84,Sheet1!A:A,Sheet1!X:X,0,FALSE)</f>
        <v>45403.040000000001</v>
      </c>
      <c r="Y84" s="101">
        <f>_xlfn.XLOOKUP(A84,Sheet1!A:A,Sheet1!Y:Y,0,FALSE)</f>
        <v>6497.5</v>
      </c>
      <c r="Z84" s="101">
        <f t="shared" si="2"/>
        <v>51900.54</v>
      </c>
      <c r="AA84" s="101"/>
      <c r="AB84" s="581">
        <f>_xlfn.XLOOKUP(A84,'Carry Forward 2022'!A:A,'Carry Forward 2022'!B:B,0,FALSE)</f>
        <v>2097</v>
      </c>
      <c r="AC84" s="100">
        <f>_xlfn.XLOOKUP(AB84,'Blade-Export_15-08-2022_cfrdata'!D:D,'Blade-Export_15-08-2022_cfrdata'!BV:BV,0,FALSE)</f>
        <v>45403.040000000001</v>
      </c>
      <c r="AD84" s="101">
        <f t="shared" si="3"/>
        <v>0</v>
      </c>
    </row>
    <row r="85" spans="1:30" x14ac:dyDescent="0.3">
      <c r="A85" s="100" t="s">
        <v>355</v>
      </c>
      <c r="B85" s="100" t="s">
        <v>995</v>
      </c>
      <c r="C85" s="101">
        <v>10787.87</v>
      </c>
      <c r="D85" s="101">
        <v>9010.75</v>
      </c>
      <c r="E85" s="101">
        <v>19798.620000000003</v>
      </c>
      <c r="F85" s="101"/>
      <c r="G85" s="101">
        <v>19798.620000000003</v>
      </c>
      <c r="H85" s="101">
        <v>8882.5</v>
      </c>
      <c r="I85" s="100">
        <v>16931.400000000001</v>
      </c>
      <c r="J85" s="101">
        <v>45612.520000000004</v>
      </c>
      <c r="K85" s="100">
        <v>28681.119999999999</v>
      </c>
      <c r="L85" s="101">
        <v>16931.400000000005</v>
      </c>
      <c r="M85" s="101">
        <v>8956.75</v>
      </c>
      <c r="N85" s="101">
        <v>25888.150000000005</v>
      </c>
      <c r="O85" s="101">
        <v>25888.15</v>
      </c>
      <c r="P85" s="101">
        <v>0</v>
      </c>
      <c r="Q85" s="101" t="e">
        <v>#REF!</v>
      </c>
      <c r="R85" s="101">
        <v>8644</v>
      </c>
      <c r="S85" s="101">
        <v>6353.59</v>
      </c>
      <c r="T85" s="101">
        <v>2290.41</v>
      </c>
      <c r="U85" s="101">
        <v>8725</v>
      </c>
      <c r="V85" s="101">
        <v>11015.41</v>
      </c>
      <c r="W85" s="101">
        <f>_xlfn.XLOOKUP(A85,Sheet1!A:A,Sheet1!W:W,0,FALSE)</f>
        <v>4752</v>
      </c>
      <c r="X85" s="101">
        <f>_xlfn.XLOOKUP(A85,Sheet1!A:A,Sheet1!X:X,0,FALSE)</f>
        <v>6263.41</v>
      </c>
      <c r="Y85" s="101">
        <f>_xlfn.XLOOKUP(A85,Sheet1!A:A,Sheet1!Y:Y,0,FALSE)</f>
        <v>8347</v>
      </c>
      <c r="Z85" s="101">
        <f t="shared" si="2"/>
        <v>14610.41</v>
      </c>
      <c r="AA85" s="101"/>
      <c r="AB85" s="581">
        <f>_xlfn.XLOOKUP(A85,'Carry Forward 2022'!A:A,'Carry Forward 2022'!B:B,0,FALSE)</f>
        <v>2157</v>
      </c>
      <c r="AC85" s="100">
        <f>_xlfn.XLOOKUP(AB85,'Blade-Export_15-08-2022_cfrdata'!D:D,'Blade-Export_15-08-2022_cfrdata'!BV:BV,0,FALSE)</f>
        <v>6263.41</v>
      </c>
      <c r="AD85" s="101">
        <f t="shared" si="3"/>
        <v>0</v>
      </c>
    </row>
    <row r="86" spans="1:30" x14ac:dyDescent="0.3">
      <c r="A86" s="100" t="s">
        <v>357</v>
      </c>
      <c r="B86" s="119" t="s">
        <v>994</v>
      </c>
      <c r="C86" s="101">
        <v>19790</v>
      </c>
      <c r="D86" s="101">
        <v>6544.75</v>
      </c>
      <c r="E86" s="101">
        <v>26334.75</v>
      </c>
      <c r="F86" s="101">
        <v>13790</v>
      </c>
      <c r="G86" s="101">
        <v>12544.75</v>
      </c>
      <c r="H86" s="101">
        <v>6508.75</v>
      </c>
      <c r="I86" s="100">
        <v>10158.299999999999</v>
      </c>
      <c r="J86" s="101">
        <v>29211.8</v>
      </c>
      <c r="K86" s="100">
        <v>15906.029999999999</v>
      </c>
      <c r="L86" s="101">
        <v>13305.77</v>
      </c>
      <c r="M86" s="101">
        <v>6531.25</v>
      </c>
      <c r="N86" s="101">
        <v>19837.02</v>
      </c>
      <c r="O86" s="101">
        <v>19837.02</v>
      </c>
      <c r="P86" s="101">
        <v>0</v>
      </c>
      <c r="Q86" s="101" t="e">
        <v>#REF!</v>
      </c>
      <c r="R86" s="101">
        <v>6373.75</v>
      </c>
      <c r="S86" s="101">
        <v>6373.92</v>
      </c>
      <c r="T86" s="101">
        <v>-0.17000000000007276</v>
      </c>
      <c r="U86" s="101">
        <v>6362.5</v>
      </c>
      <c r="V86" s="101">
        <v>6362.33</v>
      </c>
      <c r="W86" s="101">
        <f>_xlfn.XLOOKUP(A86,Sheet1!A:A,Sheet1!W:W,0,FALSE)</f>
        <v>1419</v>
      </c>
      <c r="X86" s="101">
        <f>_xlfn.XLOOKUP(A86,Sheet1!A:A,Sheet1!X:X,0,FALSE)</f>
        <v>4943.33</v>
      </c>
      <c r="Y86" s="101">
        <f>_xlfn.XLOOKUP(A86,Sheet1!A:A,Sheet1!Y:Y,0,FALSE)</f>
        <v>6261.25</v>
      </c>
      <c r="Z86" s="101">
        <f t="shared" si="2"/>
        <v>11204.58</v>
      </c>
      <c r="AA86" s="101"/>
      <c r="AB86" s="581">
        <f>_xlfn.XLOOKUP(A86,'Carry Forward 2022'!A:A,'Carry Forward 2022'!B:B,0,FALSE)</f>
        <v>2159</v>
      </c>
      <c r="AC86" s="100">
        <f>_xlfn.XLOOKUP(AB86,'Blade-Export_15-08-2022_cfrdata'!D:D,'Blade-Export_15-08-2022_cfrdata'!BV:BV,0,FALSE)</f>
        <v>4943.33</v>
      </c>
      <c r="AD86" s="101">
        <f t="shared" si="3"/>
        <v>0</v>
      </c>
    </row>
    <row r="87" spans="1:30" x14ac:dyDescent="0.3">
      <c r="A87" s="100" t="s">
        <v>359</v>
      </c>
      <c r="B87" s="119" t="s">
        <v>993</v>
      </c>
      <c r="C87" s="101">
        <v>1707.5</v>
      </c>
      <c r="D87" s="101">
        <v>7242.25</v>
      </c>
      <c r="E87" s="101">
        <v>8949.75</v>
      </c>
      <c r="F87" s="101">
        <v>8941</v>
      </c>
      <c r="G87" s="101">
        <v>8.75</v>
      </c>
      <c r="H87" s="101">
        <v>7276</v>
      </c>
      <c r="I87" s="100">
        <v>12347.52</v>
      </c>
      <c r="J87" s="101">
        <v>19632.27</v>
      </c>
      <c r="K87" s="100">
        <v>0</v>
      </c>
      <c r="L87" s="101">
        <v>19632.27</v>
      </c>
      <c r="M87" s="101">
        <v>7273.75</v>
      </c>
      <c r="N87" s="101">
        <v>26906.02</v>
      </c>
      <c r="O87" s="101">
        <v>6968.5</v>
      </c>
      <c r="P87" s="101">
        <v>19937.52</v>
      </c>
      <c r="Q87" s="101" t="e">
        <v>#REF!</v>
      </c>
      <c r="R87" s="101">
        <v>27249.52</v>
      </c>
      <c r="S87" s="101">
        <v>5515.68</v>
      </c>
      <c r="T87" s="101">
        <v>21733.84</v>
      </c>
      <c r="U87" s="101">
        <v>7276</v>
      </c>
      <c r="V87" s="101">
        <v>29009.84</v>
      </c>
      <c r="W87" s="101">
        <f>_xlfn.XLOOKUP(A87,Sheet1!A:A,Sheet1!W:W,0,FALSE)</f>
        <v>11002</v>
      </c>
      <c r="X87" s="101">
        <f>_xlfn.XLOOKUP(A87,Sheet1!A:A,Sheet1!X:X,0,FALSE)</f>
        <v>18007.84</v>
      </c>
      <c r="Y87" s="101">
        <f>_xlfn.XLOOKUP(A87,Sheet1!A:A,Sheet1!Y:Y,0,FALSE)</f>
        <v>7294</v>
      </c>
      <c r="Z87" s="101">
        <f t="shared" si="2"/>
        <v>25301.84</v>
      </c>
      <c r="AA87" s="101"/>
      <c r="AB87" s="581">
        <f>_xlfn.XLOOKUP(A87,'Carry Forward 2022'!A:A,'Carry Forward 2022'!B:B,0,FALSE)</f>
        <v>2161</v>
      </c>
      <c r="AC87" s="100">
        <f>_xlfn.XLOOKUP(AB87,'Blade-Export_15-08-2022_cfrdata'!D:D,'Blade-Export_15-08-2022_cfrdata'!BV:BV,0,FALSE)</f>
        <v>18007.84</v>
      </c>
      <c r="AD87" s="101">
        <f t="shared" si="3"/>
        <v>0</v>
      </c>
    </row>
    <row r="88" spans="1:30" x14ac:dyDescent="0.3">
      <c r="A88" s="100" t="s">
        <v>361</v>
      </c>
      <c r="B88" s="108" t="s">
        <v>992</v>
      </c>
      <c r="C88" s="101">
        <v>40.540000000000873</v>
      </c>
      <c r="D88" s="101">
        <v>7555</v>
      </c>
      <c r="E88" s="101">
        <v>7595.5400000000009</v>
      </c>
      <c r="F88" s="101"/>
      <c r="G88" s="101">
        <v>7595.5400000000009</v>
      </c>
      <c r="H88" s="101">
        <v>7701.25</v>
      </c>
      <c r="I88" s="100">
        <v>13560.9</v>
      </c>
      <c r="J88" s="101">
        <v>28857.690000000002</v>
      </c>
      <c r="K88" s="100">
        <v>15297</v>
      </c>
      <c r="L88" s="101">
        <v>13560.690000000002</v>
      </c>
      <c r="M88" s="101">
        <v>7723.75</v>
      </c>
      <c r="N88" s="101">
        <v>21284.440000000002</v>
      </c>
      <c r="O88" s="101">
        <v>21285</v>
      </c>
      <c r="P88" s="101">
        <v>-0.55999999999767169</v>
      </c>
      <c r="Q88" s="101" t="e">
        <v>#REF!</v>
      </c>
      <c r="R88" s="101">
        <v>7948.1900000000023</v>
      </c>
      <c r="S88" s="101">
        <v>0</v>
      </c>
      <c r="T88" s="101">
        <v>7948.1900000000023</v>
      </c>
      <c r="U88" s="101">
        <v>7948.75</v>
      </c>
      <c r="V88" s="101">
        <v>15896.940000000002</v>
      </c>
      <c r="W88" s="101">
        <f>_xlfn.XLOOKUP(A88,Sheet1!A:A,Sheet1!W:W,0,FALSE)</f>
        <v>4550</v>
      </c>
      <c r="X88" s="101">
        <f>_xlfn.XLOOKUP(A88,Sheet1!A:A,Sheet1!X:X,0,FALSE)</f>
        <v>11346.940000000002</v>
      </c>
      <c r="Y88" s="101">
        <f>_xlfn.XLOOKUP(A88,Sheet1!A:A,Sheet1!Y:Y,0,FALSE)</f>
        <v>7960</v>
      </c>
      <c r="Z88" s="101">
        <f t="shared" si="2"/>
        <v>19306.940000000002</v>
      </c>
      <c r="AA88" s="101"/>
      <c r="AB88" s="581">
        <f>_xlfn.XLOOKUP(A88,'Carry Forward 2022'!A:A,'Carry Forward 2022'!B:B,0,FALSE)</f>
        <v>2160</v>
      </c>
      <c r="AC88" s="100">
        <f>_xlfn.XLOOKUP(AB88,'Blade-Export_15-08-2022_cfrdata'!D:D,'Blade-Export_15-08-2022_cfrdata'!BV:BV,0,FALSE)</f>
        <v>11346.94</v>
      </c>
      <c r="AD88" s="101">
        <f t="shared" si="3"/>
        <v>0</v>
      </c>
    </row>
    <row r="89" spans="1:30" x14ac:dyDescent="0.3">
      <c r="A89" s="100" t="s">
        <v>363</v>
      </c>
      <c r="B89" s="100" t="s">
        <v>991</v>
      </c>
      <c r="C89" s="101">
        <v>7612.269999999995</v>
      </c>
      <c r="D89" s="101">
        <v>10705</v>
      </c>
      <c r="E89" s="101">
        <v>18317.269999999997</v>
      </c>
      <c r="F89" s="101"/>
      <c r="G89" s="101">
        <v>18317.269999999997</v>
      </c>
      <c r="H89" s="101">
        <v>10885</v>
      </c>
      <c r="I89" s="100">
        <v>22645.200000000001</v>
      </c>
      <c r="J89" s="101">
        <v>51847.47</v>
      </c>
      <c r="K89" s="100">
        <v>12559.92</v>
      </c>
      <c r="L89" s="101">
        <v>39287.550000000003</v>
      </c>
      <c r="M89" s="101">
        <v>11218</v>
      </c>
      <c r="N89" s="101">
        <v>50505.55</v>
      </c>
      <c r="O89" s="101">
        <v>0</v>
      </c>
      <c r="P89" s="101">
        <v>50505.55</v>
      </c>
      <c r="Q89" s="101" t="e">
        <v>#REF!</v>
      </c>
      <c r="R89" s="101">
        <v>61334.3</v>
      </c>
      <c r="S89" s="101">
        <v>7800</v>
      </c>
      <c r="T89" s="101">
        <v>53534.3</v>
      </c>
      <c r="U89" s="101">
        <v>10770.25</v>
      </c>
      <c r="V89" s="101">
        <v>64304.55</v>
      </c>
      <c r="W89" s="101">
        <f>_xlfn.XLOOKUP(A89,Sheet1!A:A,Sheet1!W:W,0,FALSE)</f>
        <v>34309.620000000003</v>
      </c>
      <c r="X89" s="101">
        <f>_xlfn.XLOOKUP(A89,Sheet1!A:A,Sheet1!X:X,0,FALSE)</f>
        <v>29994.93</v>
      </c>
      <c r="Y89" s="101">
        <f>_xlfn.XLOOKUP(A89,Sheet1!A:A,Sheet1!Y:Y,0,FALSE)</f>
        <v>10318</v>
      </c>
      <c r="Z89" s="101">
        <f t="shared" si="2"/>
        <v>40312.93</v>
      </c>
      <c r="AA89" s="101"/>
      <c r="AB89" s="581">
        <f>_xlfn.XLOOKUP(A89,'Carry Forward 2022'!A:A,'Carry Forward 2022'!B:B,0,FALSE)</f>
        <v>2063</v>
      </c>
      <c r="AC89" s="100">
        <f>_xlfn.XLOOKUP(AB89,'Blade-Export_15-08-2022_cfrdata'!D:D,'Blade-Export_15-08-2022_cfrdata'!BV:BV,0,FALSE)</f>
        <v>29994.93</v>
      </c>
      <c r="AD89" s="101">
        <f t="shared" si="3"/>
        <v>0</v>
      </c>
    </row>
    <row r="90" spans="1:30" x14ac:dyDescent="0.3">
      <c r="A90" s="100" t="s">
        <v>367</v>
      </c>
      <c r="B90" s="100" t="s">
        <v>990</v>
      </c>
      <c r="C90" s="101">
        <v>9479.0300000000007</v>
      </c>
      <c r="D90" s="101">
        <v>8914</v>
      </c>
      <c r="E90" s="101">
        <v>18393.03</v>
      </c>
      <c r="F90" s="101">
        <v>10374.609999999999</v>
      </c>
      <c r="G90" s="101">
        <v>8018.42</v>
      </c>
      <c r="H90" s="101">
        <v>9013</v>
      </c>
      <c r="I90" s="100">
        <v>17303.759999999998</v>
      </c>
      <c r="J90" s="101">
        <v>34335.179999999993</v>
      </c>
      <c r="K90" s="100">
        <v>10264.560000000001</v>
      </c>
      <c r="L90" s="101">
        <v>24070.619999999992</v>
      </c>
      <c r="M90" s="101">
        <v>9071.5</v>
      </c>
      <c r="N90" s="101">
        <v>33142.119999999995</v>
      </c>
      <c r="O90" s="101">
        <v>20958.5</v>
      </c>
      <c r="P90" s="101">
        <v>12183.619999999995</v>
      </c>
      <c r="Q90" s="101" t="e">
        <v>#REF!</v>
      </c>
      <c r="R90" s="101">
        <v>20998.619999999995</v>
      </c>
      <c r="S90" s="101">
        <v>2431.17</v>
      </c>
      <c r="T90" s="101">
        <v>18567.449999999997</v>
      </c>
      <c r="U90" s="101">
        <v>8725</v>
      </c>
      <c r="V90" s="101">
        <v>27292.449999999997</v>
      </c>
      <c r="W90" s="101">
        <f>_xlfn.XLOOKUP(A90,Sheet1!A:A,Sheet1!W:W,0,FALSE)</f>
        <v>9827.19</v>
      </c>
      <c r="X90" s="101">
        <f>_xlfn.XLOOKUP(A90,Sheet1!A:A,Sheet1!X:X,0,FALSE)</f>
        <v>17465.259999999995</v>
      </c>
      <c r="Y90" s="101">
        <f>_xlfn.XLOOKUP(A90,Sheet1!A:A,Sheet1!Y:Y,0,FALSE)</f>
        <v>8497.75</v>
      </c>
      <c r="Z90" s="101">
        <f t="shared" si="2"/>
        <v>25963.009999999995</v>
      </c>
      <c r="AA90" s="101"/>
      <c r="AB90" s="581">
        <f>_xlfn.XLOOKUP(A90,'Carry Forward 2022'!A:A,'Carry Forward 2022'!B:B,0,FALSE)</f>
        <v>2169</v>
      </c>
      <c r="AC90" s="100">
        <f>_xlfn.XLOOKUP(AB90,'Blade-Export_15-08-2022_cfrdata'!D:D,'Blade-Export_15-08-2022_cfrdata'!BV:BV,0,FALSE)</f>
        <v>17465.259999999998</v>
      </c>
      <c r="AD90" s="101">
        <f t="shared" si="3"/>
        <v>0</v>
      </c>
    </row>
    <row r="91" spans="1:30" x14ac:dyDescent="0.3">
      <c r="A91" s="100" t="s">
        <v>369</v>
      </c>
      <c r="B91" s="131" t="s">
        <v>989</v>
      </c>
      <c r="C91" s="101">
        <v>0</v>
      </c>
      <c r="D91" s="101">
        <v>9053.5</v>
      </c>
      <c r="E91" s="101">
        <v>9053.5</v>
      </c>
      <c r="F91" s="101">
        <v>9053.5</v>
      </c>
      <c r="G91" s="101">
        <v>0</v>
      </c>
      <c r="H91" s="101">
        <v>9022</v>
      </c>
      <c r="I91" s="100">
        <v>17329.439999999999</v>
      </c>
      <c r="J91" s="101">
        <v>26351.439999999999</v>
      </c>
      <c r="K91" s="100">
        <v>4977.8999999999996</v>
      </c>
      <c r="L91" s="101">
        <v>21373.54</v>
      </c>
      <c r="M91" s="101">
        <v>9114.25</v>
      </c>
      <c r="N91" s="101">
        <v>30487.79</v>
      </c>
      <c r="O91" s="101">
        <v>30487.79</v>
      </c>
      <c r="P91" s="101">
        <v>0</v>
      </c>
      <c r="Q91" s="101" t="e">
        <v>#REF!</v>
      </c>
      <c r="R91" s="101">
        <v>9242.5</v>
      </c>
      <c r="S91" s="101">
        <v>3280</v>
      </c>
      <c r="T91" s="101">
        <v>5962.5</v>
      </c>
      <c r="U91" s="101">
        <v>9082.75</v>
      </c>
      <c r="V91" s="101">
        <v>15045.25</v>
      </c>
      <c r="W91" s="101">
        <f>_xlfn.XLOOKUP(A91,Sheet1!A:A,Sheet1!W:W,0,FALSE)</f>
        <v>12509.68</v>
      </c>
      <c r="X91" s="101">
        <f>_xlfn.XLOOKUP(A91,Sheet1!A:A,Sheet1!X:X,0,FALSE)</f>
        <v>2535.5699999999997</v>
      </c>
      <c r="Y91" s="101">
        <f>_xlfn.XLOOKUP(A91,Sheet1!A:A,Sheet1!Y:Y,0,FALSE)</f>
        <v>9058</v>
      </c>
      <c r="Z91" s="101">
        <f t="shared" si="2"/>
        <v>11593.57</v>
      </c>
      <c r="AA91" s="101"/>
      <c r="AB91" s="581">
        <f>_xlfn.XLOOKUP(A91,'Carry Forward 2022'!A:A,'Carry Forward 2022'!B:B,0,FALSE)</f>
        <v>2008</v>
      </c>
      <c r="AC91" s="100">
        <f>_xlfn.XLOOKUP(AB91,'Blade-Export_15-08-2022_cfrdata'!D:D,'Blade-Export_15-08-2022_cfrdata'!BV:BV,0,FALSE)</f>
        <v>2535.5700000000002</v>
      </c>
      <c r="AD91" s="101">
        <f t="shared" si="3"/>
        <v>0</v>
      </c>
    </row>
    <row r="92" spans="1:30" x14ac:dyDescent="0.3">
      <c r="A92" s="100" t="s">
        <v>373</v>
      </c>
      <c r="B92" s="116" t="s">
        <v>988</v>
      </c>
      <c r="C92" s="101">
        <v>0</v>
      </c>
      <c r="D92" s="101">
        <v>8050</v>
      </c>
      <c r="E92" s="101">
        <v>8050</v>
      </c>
      <c r="F92" s="101">
        <v>8050</v>
      </c>
      <c r="G92" s="101">
        <v>0</v>
      </c>
      <c r="H92" s="101">
        <v>8050</v>
      </c>
      <c r="I92" s="100">
        <v>14556</v>
      </c>
      <c r="J92" s="101">
        <v>22606</v>
      </c>
      <c r="K92" s="100">
        <v>0</v>
      </c>
      <c r="L92" s="101">
        <v>22606</v>
      </c>
      <c r="M92" s="101">
        <v>8050</v>
      </c>
      <c r="N92" s="101">
        <v>30656</v>
      </c>
      <c r="O92" s="101">
        <v>30656</v>
      </c>
      <c r="P92" s="101">
        <v>0</v>
      </c>
      <c r="Q92" s="101" t="e">
        <v>#REF!</v>
      </c>
      <c r="R92" s="101">
        <v>8038.75</v>
      </c>
      <c r="S92" s="101">
        <v>0</v>
      </c>
      <c r="T92" s="101">
        <v>8038.75</v>
      </c>
      <c r="U92" s="101">
        <v>8050</v>
      </c>
      <c r="V92" s="101">
        <v>16088.75</v>
      </c>
      <c r="W92" s="101">
        <f>_xlfn.XLOOKUP(A92,Sheet1!A:A,Sheet1!W:W,0,FALSE)</f>
        <v>0</v>
      </c>
      <c r="X92" s="101">
        <f>_xlfn.XLOOKUP(A92,Sheet1!A:A,Sheet1!X:X,0,FALSE)</f>
        <v>16088.75</v>
      </c>
      <c r="Y92" s="101">
        <f>_xlfn.XLOOKUP(A92,Sheet1!A:A,Sheet1!Y:Y,0,FALSE)</f>
        <v>8016.25</v>
      </c>
      <c r="Z92" s="101">
        <f t="shared" si="2"/>
        <v>24105</v>
      </c>
      <c r="AA92" s="101"/>
      <c r="AB92" s="581">
        <f>_xlfn.XLOOKUP(A92,'Carry Forward 2022'!A:A,'Carry Forward 2022'!B:B,0,FALSE)</f>
        <v>2174</v>
      </c>
      <c r="AC92" s="100">
        <f>_xlfn.XLOOKUP(AB92,'Blade-Export_15-08-2022_cfrdata'!D:D,'Blade-Export_15-08-2022_cfrdata'!BV:BV,0,FALSE)</f>
        <v>16088.75</v>
      </c>
      <c r="AD92" s="101">
        <f t="shared" si="3"/>
        <v>0</v>
      </c>
    </row>
    <row r="93" spans="1:30" x14ac:dyDescent="0.3">
      <c r="A93" s="100" t="s">
        <v>375</v>
      </c>
      <c r="B93" s="100" t="s">
        <v>987</v>
      </c>
      <c r="C93" s="101">
        <v>0</v>
      </c>
      <c r="D93" s="101">
        <v>12424</v>
      </c>
      <c r="E93" s="101">
        <v>12424</v>
      </c>
      <c r="F93" s="101"/>
      <c r="G93" s="101">
        <v>12424</v>
      </c>
      <c r="H93" s="101">
        <v>12374.5</v>
      </c>
      <c r="I93" s="100">
        <v>26895.24</v>
      </c>
      <c r="J93" s="101">
        <v>51693.740000000005</v>
      </c>
      <c r="K93" s="100">
        <v>4295</v>
      </c>
      <c r="L93" s="101">
        <v>47398.740000000005</v>
      </c>
      <c r="M93" s="101">
        <v>12370</v>
      </c>
      <c r="N93" s="101">
        <v>59768.740000000005</v>
      </c>
      <c r="O93" s="101">
        <v>19131.2</v>
      </c>
      <c r="P93" s="101">
        <v>40637.540000000008</v>
      </c>
      <c r="Q93" s="101" t="e">
        <v>#REF!</v>
      </c>
      <c r="R93" s="101">
        <v>52928.790000000008</v>
      </c>
      <c r="S93" s="101">
        <v>28361.370000000003</v>
      </c>
      <c r="T93" s="101">
        <v>24567.420000000006</v>
      </c>
      <c r="U93" s="101">
        <v>12002.12</v>
      </c>
      <c r="V93" s="101">
        <v>36569.540000000008</v>
      </c>
      <c r="W93" s="101">
        <f>_xlfn.XLOOKUP(A93,Sheet1!A:A,Sheet1!W:W,0,FALSE)</f>
        <v>2847</v>
      </c>
      <c r="X93" s="101">
        <f>_xlfn.XLOOKUP(A93,Sheet1!A:A,Sheet1!X:X,0,FALSE)</f>
        <v>33722.540000000008</v>
      </c>
      <c r="Y93" s="101">
        <f>_xlfn.XLOOKUP(A93,Sheet1!A:A,Sheet1!Y:Y,0,FALSE)</f>
        <v>11944.75</v>
      </c>
      <c r="Z93" s="101">
        <f t="shared" si="2"/>
        <v>45667.290000000008</v>
      </c>
      <c r="AA93" s="101"/>
      <c r="AB93" s="581">
        <f>_xlfn.XLOOKUP(A93,'Carry Forward 2022'!A:A,'Carry Forward 2022'!B:B,0,FALSE)</f>
        <v>2176</v>
      </c>
      <c r="AC93" s="100">
        <f>_xlfn.XLOOKUP(AB93,'Blade-Export_15-08-2022_cfrdata'!D:D,'Blade-Export_15-08-2022_cfrdata'!BV:BV,0,FALSE)</f>
        <v>33722.54</v>
      </c>
      <c r="AD93" s="101">
        <f t="shared" si="3"/>
        <v>0</v>
      </c>
    </row>
    <row r="94" spans="1:30" x14ac:dyDescent="0.3">
      <c r="A94" s="100" t="s">
        <v>385</v>
      </c>
      <c r="B94" s="100" t="s">
        <v>986</v>
      </c>
      <c r="C94" s="101">
        <v>410.09999999999854</v>
      </c>
      <c r="D94" s="101">
        <v>9546.25</v>
      </c>
      <c r="E94" s="101">
        <v>9956.3499999999985</v>
      </c>
      <c r="F94" s="101">
        <v>8700.0499999999993</v>
      </c>
      <c r="G94" s="101">
        <v>1256.2999999999993</v>
      </c>
      <c r="H94" s="101">
        <v>8837.5</v>
      </c>
      <c r="I94" s="100">
        <v>16803</v>
      </c>
      <c r="J94" s="101">
        <v>26896.799999999999</v>
      </c>
      <c r="K94" s="100">
        <v>8868.09</v>
      </c>
      <c r="L94" s="101">
        <v>18028.71</v>
      </c>
      <c r="M94" s="101">
        <v>7663</v>
      </c>
      <c r="N94" s="101">
        <v>25691.71</v>
      </c>
      <c r="O94" s="101">
        <v>5735.78</v>
      </c>
      <c r="P94" s="101">
        <v>19955.93</v>
      </c>
      <c r="Q94" s="101" t="e">
        <v>#REF!</v>
      </c>
      <c r="R94" s="101">
        <v>27731.43</v>
      </c>
      <c r="S94" s="101">
        <v>15972.100000000006</v>
      </c>
      <c r="T94" s="101">
        <v>11759.329999999994</v>
      </c>
      <c r="U94" s="130">
        <v>8178.25</v>
      </c>
      <c r="V94" s="101">
        <v>19937.579999999994</v>
      </c>
      <c r="W94" s="130">
        <f>_xlfn.XLOOKUP(A94,Sheet1!A:A,Sheet1!W:W,0,FALSE)</f>
        <v>9392.9999999999982</v>
      </c>
      <c r="X94" s="101">
        <f>_xlfn.XLOOKUP(A94,Sheet1!A:A,Sheet1!X:X,0,FALSE)</f>
        <v>10544.579999999996</v>
      </c>
      <c r="Y94" s="101">
        <f>_xlfn.XLOOKUP(A94,Sheet1!A:A,Sheet1!Y:Y,0,FALSE)</f>
        <v>8444.8799999999992</v>
      </c>
      <c r="Z94" s="101">
        <f t="shared" si="2"/>
        <v>18989.459999999995</v>
      </c>
      <c r="AA94" s="101"/>
      <c r="AB94" s="581">
        <f>_xlfn.XLOOKUP(A94,'Carry Forward 2022'!A:A,'Carry Forward 2022'!B:B,0,FALSE)</f>
        <v>2183</v>
      </c>
      <c r="AC94" s="100">
        <f>_xlfn.XLOOKUP(AB94,'Blade-Export_15-08-2022_cfrdata'!D:D,'Blade-Export_15-08-2022_cfrdata'!BV:BV,0,FALSE)</f>
        <v>10544.58</v>
      </c>
      <c r="AD94" s="101">
        <f t="shared" si="3"/>
        <v>0</v>
      </c>
    </row>
    <row r="95" spans="1:30" x14ac:dyDescent="0.3">
      <c r="A95" s="100" t="s">
        <v>409</v>
      </c>
      <c r="B95" s="100" t="s">
        <v>985</v>
      </c>
      <c r="C95" s="101">
        <v>391.54999999999927</v>
      </c>
      <c r="D95" s="101">
        <v>8691.25</v>
      </c>
      <c r="E95" s="101">
        <v>9082.7999999999993</v>
      </c>
      <c r="F95" s="101">
        <v>7429.84</v>
      </c>
      <c r="G95" s="101">
        <v>1652.9599999999991</v>
      </c>
      <c r="H95" s="101">
        <v>8691.25</v>
      </c>
      <c r="I95" s="100">
        <v>16385.7</v>
      </c>
      <c r="J95" s="101">
        <v>26729.91</v>
      </c>
      <c r="K95" s="100">
        <v>2950</v>
      </c>
      <c r="L95" s="101">
        <v>23779.91</v>
      </c>
      <c r="M95" s="101">
        <v>8736.25</v>
      </c>
      <c r="N95" s="101">
        <v>32516.16</v>
      </c>
      <c r="O95" s="101">
        <v>19118.04</v>
      </c>
      <c r="P95" s="101">
        <v>13398.119999999999</v>
      </c>
      <c r="Q95" s="101" t="e">
        <v>#REF!</v>
      </c>
      <c r="R95" s="101">
        <v>22145.62</v>
      </c>
      <c r="S95" s="101">
        <v>4445.67</v>
      </c>
      <c r="T95" s="101">
        <v>17699.949999999997</v>
      </c>
      <c r="U95" s="101">
        <v>8725</v>
      </c>
      <c r="V95" s="101">
        <v>26424.949999999997</v>
      </c>
      <c r="W95" s="101">
        <f>_xlfn.XLOOKUP(A95,Sheet1!A:A,Sheet1!W:W,0,FALSE)</f>
        <v>11198.97</v>
      </c>
      <c r="X95" s="101">
        <f>_xlfn.XLOOKUP(A95,Sheet1!A:A,Sheet1!X:X,0,FALSE)</f>
        <v>15225.979999999998</v>
      </c>
      <c r="Y95" s="101">
        <f>_xlfn.XLOOKUP(A95,Sheet1!A:A,Sheet1!Y:Y,0,FALSE)</f>
        <v>8680</v>
      </c>
      <c r="Z95" s="101">
        <f t="shared" si="2"/>
        <v>23905.979999999996</v>
      </c>
      <c r="AA95" s="101"/>
      <c r="AB95" s="581">
        <f>_xlfn.XLOOKUP(A95,'Carry Forward 2022'!A:A,'Carry Forward 2022'!B:B,0,FALSE)</f>
        <v>3010</v>
      </c>
      <c r="AC95" s="100">
        <f>_xlfn.XLOOKUP(AB95,'Blade-Export_15-08-2022_cfrdata'!D:D,'Blade-Export_15-08-2022_cfrdata'!BV:BV,0,FALSE)</f>
        <v>15225.98</v>
      </c>
      <c r="AD95" s="101">
        <f t="shared" si="3"/>
        <v>0</v>
      </c>
    </row>
    <row r="96" spans="1:30" x14ac:dyDescent="0.3">
      <c r="A96" s="100" t="s">
        <v>428</v>
      </c>
      <c r="B96" s="129" t="s">
        <v>984</v>
      </c>
      <c r="C96" s="101">
        <v>9792.4000000000015</v>
      </c>
      <c r="D96" s="101">
        <v>7712.5</v>
      </c>
      <c r="E96" s="101">
        <v>17504.900000000001</v>
      </c>
      <c r="F96" s="101">
        <v>14267.46</v>
      </c>
      <c r="G96" s="101">
        <v>3237.4400000000023</v>
      </c>
      <c r="H96" s="101">
        <v>8027.5</v>
      </c>
      <c r="I96" s="100">
        <v>14491.8</v>
      </c>
      <c r="J96" s="101">
        <v>25756.74</v>
      </c>
      <c r="K96" s="100">
        <v>3642</v>
      </c>
      <c r="L96" s="101">
        <v>22114.74</v>
      </c>
      <c r="M96" s="101">
        <v>8365</v>
      </c>
      <c r="N96" s="101">
        <v>30479.74</v>
      </c>
      <c r="O96" s="101">
        <v>16701.2</v>
      </c>
      <c r="P96" s="101">
        <v>13778.54</v>
      </c>
      <c r="Q96" s="121"/>
      <c r="R96" s="101">
        <v>13778.54</v>
      </c>
      <c r="S96" s="101">
        <v>0</v>
      </c>
      <c r="T96" s="101">
        <v>13778.54</v>
      </c>
      <c r="U96" s="101"/>
      <c r="V96" s="101">
        <v>13778.54</v>
      </c>
      <c r="W96" s="101">
        <f>_xlfn.XLOOKUP(A96,Sheet1!A:A,Sheet1!W:W,0,FALSE)</f>
        <v>12385.5</v>
      </c>
      <c r="X96" s="101">
        <f>_xlfn.XLOOKUP(A96,Sheet1!A:A,Sheet1!X:X,0,FALSE)</f>
        <v>1393.0400000000009</v>
      </c>
      <c r="Y96" s="101">
        <f>_xlfn.XLOOKUP(A96,Sheet1!A:A,Sheet1!Y:Y,0,FALSE)</f>
        <v>0</v>
      </c>
      <c r="Z96" s="101">
        <f t="shared" si="2"/>
        <v>1393.0400000000009</v>
      </c>
      <c r="AA96" s="101"/>
      <c r="AB96" s="581">
        <f>_xlfn.XLOOKUP(A96,'Carry Forward 2022'!A:A,'Carry Forward 2022'!B:B,0,FALSE)</f>
        <v>3025</v>
      </c>
      <c r="AC96" s="100">
        <f>_xlfn.XLOOKUP(AB96,'Blade-Export_15-08-2022_cfrdata'!D:D,'Blade-Export_15-08-2022_cfrdata'!BV:BV,0,FALSE)</f>
        <v>1393.04</v>
      </c>
      <c r="AD96" s="101">
        <f t="shared" si="3"/>
        <v>0</v>
      </c>
    </row>
    <row r="97" spans="1:30" x14ac:dyDescent="0.3">
      <c r="A97" s="100" t="s">
        <v>432</v>
      </c>
      <c r="B97" s="118" t="s">
        <v>983</v>
      </c>
      <c r="C97" s="101">
        <v>0</v>
      </c>
      <c r="D97" s="101">
        <v>6340</v>
      </c>
      <c r="E97" s="101">
        <v>6340</v>
      </c>
      <c r="F97" s="101"/>
      <c r="G97" s="101">
        <v>6340</v>
      </c>
      <c r="H97" s="101">
        <v>6328.75</v>
      </c>
      <c r="I97" s="100">
        <v>9644.7000000000007</v>
      </c>
      <c r="J97" s="101">
        <v>22313.45</v>
      </c>
      <c r="K97" s="100">
        <v>0</v>
      </c>
      <c r="L97" s="101">
        <v>22313.45</v>
      </c>
      <c r="M97" s="101">
        <v>6295</v>
      </c>
      <c r="N97" s="101">
        <v>28608.45</v>
      </c>
      <c r="O97" s="101">
        <v>28608</v>
      </c>
      <c r="P97" s="101">
        <v>0.4500000000007276</v>
      </c>
      <c r="Q97" s="101" t="e">
        <v>#REF!</v>
      </c>
      <c r="R97" s="101">
        <v>6362.9500000000007</v>
      </c>
      <c r="S97" s="101">
        <v>6362.32</v>
      </c>
      <c r="T97" s="101">
        <v>0.63000000000101863</v>
      </c>
      <c r="U97" s="101">
        <v>6351.25</v>
      </c>
      <c r="V97" s="101">
        <v>6351.880000000001</v>
      </c>
      <c r="W97" s="101">
        <f>_xlfn.XLOOKUP(A97,Sheet1!A:A,Sheet1!W:W,0,FALSE)</f>
        <v>0</v>
      </c>
      <c r="X97" s="101">
        <f>_xlfn.XLOOKUP(A97,Sheet1!A:A,Sheet1!X:X,0,FALSE)</f>
        <v>6351.880000000001</v>
      </c>
      <c r="Y97" s="101">
        <f>_xlfn.XLOOKUP(A97,Sheet1!A:A,Sheet1!Y:Y,0,FALSE)</f>
        <v>6250</v>
      </c>
      <c r="Z97" s="101">
        <f t="shared" si="2"/>
        <v>12601.880000000001</v>
      </c>
      <c r="AA97" s="101"/>
      <c r="AB97" s="581">
        <f>_xlfn.XLOOKUP(A97,'Carry Forward 2022'!A:A,'Carry Forward 2022'!B:B,0,FALSE)</f>
        <v>3016</v>
      </c>
      <c r="AC97" s="100">
        <f>_xlfn.XLOOKUP(AB97,'Blade-Export_15-08-2022_cfrdata'!D:D,'Blade-Export_15-08-2022_cfrdata'!BV:BV,0,FALSE)</f>
        <v>6351.88</v>
      </c>
      <c r="AD97" s="101">
        <f t="shared" si="3"/>
        <v>0</v>
      </c>
    </row>
    <row r="98" spans="1:30" x14ac:dyDescent="0.3">
      <c r="A98" s="100" t="s">
        <v>436</v>
      </c>
      <c r="B98" s="116" t="s">
        <v>982</v>
      </c>
      <c r="C98" s="101">
        <v>-450.5</v>
      </c>
      <c r="D98" s="101">
        <v>8974.75</v>
      </c>
      <c r="E98" s="101">
        <v>8524.25</v>
      </c>
      <c r="F98" s="101"/>
      <c r="G98" s="101">
        <v>8524.25</v>
      </c>
      <c r="H98" s="101"/>
      <c r="I98" s="100">
        <v>0</v>
      </c>
      <c r="J98" s="101">
        <v>8524.25</v>
      </c>
      <c r="K98" s="100">
        <v>0</v>
      </c>
      <c r="L98" s="101">
        <v>8524.25</v>
      </c>
      <c r="M98" s="101"/>
      <c r="N98" s="101">
        <v>8524.25</v>
      </c>
      <c r="O98" s="101">
        <v>0</v>
      </c>
      <c r="P98" s="101">
        <v>8524.25</v>
      </c>
      <c r="Q98" s="121"/>
      <c r="R98" s="101">
        <v>8524.25</v>
      </c>
      <c r="S98" s="101">
        <v>0</v>
      </c>
      <c r="T98" s="101">
        <v>8524.25</v>
      </c>
      <c r="U98" s="101"/>
      <c r="V98" s="101">
        <v>8524.25</v>
      </c>
      <c r="W98" s="101">
        <f>_xlfn.XLOOKUP(A98,Sheet1!A:A,Sheet1!W:W,0,FALSE)</f>
        <v>0</v>
      </c>
      <c r="X98" s="101">
        <f>_xlfn.XLOOKUP(A98,Sheet1!A:A,Sheet1!X:X,0,FALSE)</f>
        <v>8524.25</v>
      </c>
      <c r="Y98" s="101">
        <f>_xlfn.XLOOKUP(A98,Sheet1!A:A,Sheet1!Y:Y,0,FALSE)</f>
        <v>0</v>
      </c>
      <c r="Z98" s="101">
        <f t="shared" si="2"/>
        <v>8524.25</v>
      </c>
      <c r="AA98" s="101"/>
      <c r="AB98" s="581">
        <f>_xlfn.XLOOKUP(A98,'Carry Forward 2022'!A:A,'Carry Forward 2022'!B:B,0,FALSE)</f>
        <v>3428</v>
      </c>
      <c r="AC98" s="100">
        <f>_xlfn.XLOOKUP(AB98,'Blade-Export_15-08-2022_cfrdata'!D:D,'Blade-Export_15-08-2022_cfrdata'!BV:BV,0,FALSE)</f>
        <v>8524.25</v>
      </c>
      <c r="AD98" s="101">
        <f t="shared" si="3"/>
        <v>0</v>
      </c>
    </row>
    <row r="99" spans="1:30" x14ac:dyDescent="0.3">
      <c r="A99" s="100" t="s">
        <v>440</v>
      </c>
      <c r="B99" s="100" t="s">
        <v>981</v>
      </c>
      <c r="C99" s="101">
        <v>17360.050000000003</v>
      </c>
      <c r="D99" s="101">
        <v>8623.75</v>
      </c>
      <c r="E99" s="101">
        <v>25983.800000000003</v>
      </c>
      <c r="F99" s="101">
        <v>4455.6099999999997</v>
      </c>
      <c r="G99" s="101">
        <v>21528.190000000002</v>
      </c>
      <c r="H99" s="101">
        <v>8691.25</v>
      </c>
      <c r="I99" s="100">
        <v>16385.7</v>
      </c>
      <c r="J99" s="101">
        <v>46605.14</v>
      </c>
      <c r="K99" s="100">
        <v>0</v>
      </c>
      <c r="L99" s="101">
        <v>46605.14</v>
      </c>
      <c r="M99" s="101">
        <v>8623.75</v>
      </c>
      <c r="N99" s="101">
        <v>55228.89</v>
      </c>
      <c r="O99" s="101">
        <v>0</v>
      </c>
      <c r="P99" s="101">
        <v>55228.89</v>
      </c>
      <c r="Q99" s="101" t="e">
        <v>#REF!</v>
      </c>
      <c r="R99" s="101">
        <v>63875.14</v>
      </c>
      <c r="S99" s="101">
        <v>63419.29</v>
      </c>
      <c r="T99" s="101">
        <v>455.84999999999854</v>
      </c>
      <c r="U99" s="101">
        <v>8612.5</v>
      </c>
      <c r="V99" s="101">
        <v>9068.3499999999985</v>
      </c>
      <c r="W99" s="101">
        <f>_xlfn.XLOOKUP(A99,Sheet1!A:A,Sheet1!W:W,0,FALSE)</f>
        <v>0</v>
      </c>
      <c r="X99" s="101">
        <f>_xlfn.XLOOKUP(A99,Sheet1!A:A,Sheet1!X:X,0,FALSE)</f>
        <v>9068.3499999999985</v>
      </c>
      <c r="Y99" s="101">
        <f>_xlfn.XLOOKUP(A99,Sheet1!A:A,Sheet1!Y:Y,0,FALSE)</f>
        <v>8601.25</v>
      </c>
      <c r="Z99" s="101">
        <f t="shared" si="2"/>
        <v>17669.599999999999</v>
      </c>
      <c r="AA99" s="101"/>
      <c r="AB99" s="581">
        <f>_xlfn.XLOOKUP(A99,'Carry Forward 2022'!A:A,'Carry Forward 2022'!B:B,0,FALSE)</f>
        <v>3019</v>
      </c>
      <c r="AC99" s="100">
        <f>_xlfn.XLOOKUP(AB99,'Blade-Export_15-08-2022_cfrdata'!D:D,'Blade-Export_15-08-2022_cfrdata'!BV:BV,0,FALSE)</f>
        <v>9068.35</v>
      </c>
      <c r="AD99" s="101">
        <f t="shared" si="3"/>
        <v>0</v>
      </c>
    </row>
    <row r="100" spans="1:30" x14ac:dyDescent="0.3">
      <c r="A100" s="100" t="s">
        <v>448</v>
      </c>
      <c r="B100" s="100" t="s">
        <v>980</v>
      </c>
      <c r="C100" s="101">
        <v>8301.83</v>
      </c>
      <c r="D100" s="101">
        <v>6544.75</v>
      </c>
      <c r="E100" s="101">
        <v>14846.58</v>
      </c>
      <c r="F100" s="101">
        <v>14769.529999999999</v>
      </c>
      <c r="G100" s="101">
        <v>77.050000000001091</v>
      </c>
      <c r="H100" s="101">
        <v>6848.5</v>
      </c>
      <c r="I100" s="100">
        <v>11127.72</v>
      </c>
      <c r="J100" s="101">
        <v>18053.27</v>
      </c>
      <c r="K100" s="100">
        <v>4360.7300000000005</v>
      </c>
      <c r="L100" s="101">
        <v>13692.54</v>
      </c>
      <c r="M100" s="101">
        <v>6754</v>
      </c>
      <c r="N100" s="101">
        <v>20446.54</v>
      </c>
      <c r="O100" s="101">
        <v>1650</v>
      </c>
      <c r="P100" s="101">
        <v>18796.54</v>
      </c>
      <c r="Q100" s="101" t="e">
        <v>#REF!</v>
      </c>
      <c r="R100" s="101">
        <v>25573.040000000001</v>
      </c>
      <c r="S100" s="101">
        <v>22822.6</v>
      </c>
      <c r="T100" s="101">
        <v>2750.4400000000023</v>
      </c>
      <c r="U100" s="101">
        <v>6877.75</v>
      </c>
      <c r="V100" s="101">
        <v>9628.1900000000023</v>
      </c>
      <c r="W100" s="101">
        <f>_xlfn.XLOOKUP(A100,Sheet1!A:A,Sheet1!W:W,0,FALSE)</f>
        <v>3405</v>
      </c>
      <c r="X100" s="101">
        <f>_xlfn.XLOOKUP(A100,Sheet1!A:A,Sheet1!X:X,0,FALSE)</f>
        <v>6223.1900000000023</v>
      </c>
      <c r="Y100" s="101">
        <f>_xlfn.XLOOKUP(A100,Sheet1!A:A,Sheet1!Y:Y,0,FALSE)</f>
        <v>6693.25</v>
      </c>
      <c r="Z100" s="101">
        <f t="shared" si="2"/>
        <v>12916.440000000002</v>
      </c>
      <c r="AA100" s="101"/>
      <c r="AB100" s="581">
        <f>_xlfn.XLOOKUP(A100,'Carry Forward 2022'!A:A,'Carry Forward 2022'!B:B,0,FALSE)</f>
        <v>2178</v>
      </c>
      <c r="AC100" s="100">
        <f>_xlfn.XLOOKUP(AB100,'Blade-Export_15-08-2022_cfrdata'!D:D,'Blade-Export_15-08-2022_cfrdata'!BV:BV,0,FALSE)</f>
        <v>6223.19</v>
      </c>
      <c r="AD100" s="101">
        <f t="shared" si="3"/>
        <v>0</v>
      </c>
    </row>
    <row r="101" spans="1:30" x14ac:dyDescent="0.3">
      <c r="A101" s="100" t="s">
        <v>450</v>
      </c>
      <c r="B101" s="100" t="s">
        <v>979</v>
      </c>
      <c r="C101" s="101">
        <v>34863.020000000004</v>
      </c>
      <c r="D101" s="101">
        <v>23881</v>
      </c>
      <c r="E101" s="101">
        <v>58744.020000000004</v>
      </c>
      <c r="F101" s="101"/>
      <c r="G101" s="101">
        <v>58744.020000000004</v>
      </c>
      <c r="H101" s="101">
        <v>27803.88</v>
      </c>
      <c r="I101" s="100">
        <v>70920.39</v>
      </c>
      <c r="J101" s="101">
        <v>157468.29</v>
      </c>
      <c r="K101" s="100">
        <v>0</v>
      </c>
      <c r="L101" s="101">
        <v>157468.29</v>
      </c>
      <c r="M101" s="101">
        <v>30371.13</v>
      </c>
      <c r="N101" s="101">
        <v>187839.42</v>
      </c>
      <c r="O101" s="101">
        <v>47000</v>
      </c>
      <c r="P101" s="101">
        <v>140839.42000000001</v>
      </c>
      <c r="Q101" s="121"/>
      <c r="R101" s="101">
        <v>140839.42000000001</v>
      </c>
      <c r="S101" s="101">
        <v>174070.3</v>
      </c>
      <c r="T101" s="101">
        <v>-33230.879999999976</v>
      </c>
      <c r="U101" s="101"/>
      <c r="V101" s="101">
        <v>-33230.879999999976</v>
      </c>
      <c r="W101" s="101">
        <f>_xlfn.XLOOKUP(A101,Sheet1!A:A,Sheet1!W:W,0,FALSE)</f>
        <v>0</v>
      </c>
      <c r="X101" s="101">
        <f>_xlfn.XLOOKUP(A101,Sheet1!A:A,Sheet1!X:X,0,FALSE)</f>
        <v>-33230.879999999976</v>
      </c>
      <c r="Y101" s="101">
        <f>_xlfn.XLOOKUP(A101,Sheet1!A:A,Sheet1!Y:Y,0,FALSE)</f>
        <v>0</v>
      </c>
      <c r="Z101" s="101">
        <f t="shared" si="2"/>
        <v>-33230.879999999976</v>
      </c>
      <c r="AA101" s="101"/>
      <c r="AB101" s="581">
        <f>_xlfn.XLOOKUP(A101,'Carry Forward 2022'!A:A,'Carry Forward 2022'!B:B,0,FALSE)</f>
        <v>2179</v>
      </c>
      <c r="AC101" s="100">
        <f>_xlfn.XLOOKUP(AB101,'Blade-Export_15-08-2022_cfrdata'!D:D,'Blade-Export_15-08-2022_cfrdata'!BV:BV,0,FALSE)</f>
        <v>0</v>
      </c>
      <c r="AD101" s="101">
        <f t="shared" si="3"/>
        <v>-33230.879999999976</v>
      </c>
    </row>
    <row r="102" spans="1:30" x14ac:dyDescent="0.3">
      <c r="A102" s="100" t="s">
        <v>451</v>
      </c>
      <c r="B102" s="100" t="s">
        <v>978</v>
      </c>
      <c r="C102" s="101">
        <v>0</v>
      </c>
      <c r="D102" s="101">
        <v>8173.75</v>
      </c>
      <c r="E102" s="101">
        <v>8173.75</v>
      </c>
      <c r="F102" s="101">
        <v>8173.75</v>
      </c>
      <c r="G102" s="101">
        <v>0</v>
      </c>
      <c r="H102" s="101">
        <v>8515.75</v>
      </c>
      <c r="I102" s="100">
        <v>15884.94</v>
      </c>
      <c r="J102" s="101">
        <v>24400.690000000002</v>
      </c>
      <c r="K102" s="100">
        <v>8515.75</v>
      </c>
      <c r="L102" s="101">
        <v>15884.940000000002</v>
      </c>
      <c r="M102" s="101">
        <v>8887</v>
      </c>
      <c r="N102" s="101">
        <v>24771.940000000002</v>
      </c>
      <c r="O102" s="101">
        <v>23305</v>
      </c>
      <c r="P102" s="101">
        <v>1466.9400000000023</v>
      </c>
      <c r="Q102" s="101" t="e">
        <v>#REF!</v>
      </c>
      <c r="R102" s="101">
        <v>10347.190000000002</v>
      </c>
      <c r="S102" s="101">
        <v>3796</v>
      </c>
      <c r="T102" s="101">
        <v>6551.1900000000023</v>
      </c>
      <c r="U102" s="101">
        <v>8824</v>
      </c>
      <c r="V102" s="101">
        <v>15375.190000000002</v>
      </c>
      <c r="W102" s="101">
        <f>_xlfn.XLOOKUP(A102,Sheet1!A:A,Sheet1!W:W,0,FALSE)</f>
        <v>9000</v>
      </c>
      <c r="X102" s="101">
        <f>_xlfn.XLOOKUP(A102,Sheet1!A:A,Sheet1!X:X,0,FALSE)</f>
        <v>6375.1900000000023</v>
      </c>
      <c r="Y102" s="101">
        <f>_xlfn.XLOOKUP(A102,Sheet1!A:A,Sheet1!Y:Y,0,FALSE)</f>
        <v>8718.25</v>
      </c>
      <c r="Z102" s="101">
        <f t="shared" si="2"/>
        <v>15093.440000000002</v>
      </c>
      <c r="AA102" s="101"/>
      <c r="AB102" s="581">
        <f>_xlfn.XLOOKUP(A102,'Carry Forward 2022'!A:A,'Carry Forward 2022'!B:B,0,FALSE)</f>
        <v>2184</v>
      </c>
      <c r="AC102" s="100">
        <f>_xlfn.XLOOKUP(AB102,'Blade-Export_15-08-2022_cfrdata'!D:D,'Blade-Export_15-08-2022_cfrdata'!BV:BV,0,FALSE)</f>
        <v>6375.19</v>
      </c>
      <c r="AD102" s="101">
        <f t="shared" si="3"/>
        <v>0</v>
      </c>
    </row>
    <row r="103" spans="1:30" x14ac:dyDescent="0.3">
      <c r="A103" s="100" t="s">
        <v>453</v>
      </c>
      <c r="B103" s="100" t="s">
        <v>977</v>
      </c>
      <c r="C103" s="101">
        <v>16883.259999999998</v>
      </c>
      <c r="D103" s="101">
        <v>8853.25</v>
      </c>
      <c r="E103" s="101">
        <v>25736.51</v>
      </c>
      <c r="F103" s="101">
        <v>2939</v>
      </c>
      <c r="G103" s="101">
        <v>22797.51</v>
      </c>
      <c r="H103" s="101">
        <v>8891.5</v>
      </c>
      <c r="I103" s="100">
        <v>16957.080000000002</v>
      </c>
      <c r="J103" s="101">
        <v>48646.09</v>
      </c>
      <c r="K103" s="100">
        <v>16242</v>
      </c>
      <c r="L103" s="101">
        <v>32404.089999999997</v>
      </c>
      <c r="M103" s="101">
        <v>8911.75</v>
      </c>
      <c r="N103" s="101">
        <v>41315.839999999997</v>
      </c>
      <c r="O103" s="101">
        <v>30903.19</v>
      </c>
      <c r="P103" s="101">
        <v>10412.649999999998</v>
      </c>
      <c r="Q103" s="101" t="e">
        <v>#REF!</v>
      </c>
      <c r="R103" s="101">
        <v>19227.649999999998</v>
      </c>
      <c r="S103" s="101">
        <v>8608.52</v>
      </c>
      <c r="T103" s="101">
        <v>10619.129999999997</v>
      </c>
      <c r="U103" s="101">
        <v>8511.25</v>
      </c>
      <c r="V103" s="101">
        <v>19130.379999999997</v>
      </c>
      <c r="W103" s="101">
        <f>_xlfn.XLOOKUP(A103,Sheet1!A:A,Sheet1!W:W,0,FALSE)</f>
        <v>1867.6399999999994</v>
      </c>
      <c r="X103" s="101">
        <f>_xlfn.XLOOKUP(A103,Sheet1!A:A,Sheet1!X:X,0,FALSE)</f>
        <v>17262.739999999998</v>
      </c>
      <c r="Y103" s="101">
        <f>_xlfn.XLOOKUP(A103,Sheet1!A:A,Sheet1!Y:Y,0,FALSE)</f>
        <v>8518</v>
      </c>
      <c r="Z103" s="101">
        <f t="shared" si="2"/>
        <v>25780.739999999998</v>
      </c>
      <c r="AA103" s="101"/>
      <c r="AB103" s="581">
        <f>_xlfn.XLOOKUP(A103,'Carry Forward 2022'!A:A,'Carry Forward 2022'!B:B,0,FALSE)</f>
        <v>2067</v>
      </c>
      <c r="AC103" s="100">
        <f>_xlfn.XLOOKUP(AB103,'Blade-Export_15-08-2022_cfrdata'!D:D,'Blade-Export_15-08-2022_cfrdata'!BV:BV,0,FALSE)</f>
        <v>17262.740000000002</v>
      </c>
      <c r="AD103" s="101">
        <f t="shared" si="3"/>
        <v>0</v>
      </c>
    </row>
    <row r="104" spans="1:30" x14ac:dyDescent="0.3">
      <c r="A104" s="100" t="s">
        <v>455</v>
      </c>
      <c r="B104" s="100" t="s">
        <v>976</v>
      </c>
      <c r="C104" s="101">
        <v>-0.38999999999941792</v>
      </c>
      <c r="D104" s="101">
        <v>6238.75</v>
      </c>
      <c r="E104" s="101">
        <v>6238.3600000000006</v>
      </c>
      <c r="F104" s="101">
        <v>6048</v>
      </c>
      <c r="G104" s="101">
        <v>190.36000000000058</v>
      </c>
      <c r="H104" s="101">
        <v>6250</v>
      </c>
      <c r="I104" s="100">
        <v>9420</v>
      </c>
      <c r="J104" s="101">
        <v>15860.36</v>
      </c>
      <c r="K104" s="100">
        <v>7233.4599999999991</v>
      </c>
      <c r="L104" s="101">
        <v>8626.9000000000015</v>
      </c>
      <c r="M104" s="101">
        <v>6182.5</v>
      </c>
      <c r="N104" s="101">
        <v>14809.400000000001</v>
      </c>
      <c r="O104" s="101">
        <v>14609.18</v>
      </c>
      <c r="P104" s="101">
        <v>200.22000000000116</v>
      </c>
      <c r="Q104" s="101" t="e">
        <v>#REF!</v>
      </c>
      <c r="R104" s="101">
        <v>6393.9700000000012</v>
      </c>
      <c r="S104" s="101">
        <v>9301.2799999999988</v>
      </c>
      <c r="T104" s="101">
        <v>-2907.3099999999977</v>
      </c>
      <c r="U104" s="101">
        <v>6058.75</v>
      </c>
      <c r="V104" s="101">
        <v>3151.4400000000023</v>
      </c>
      <c r="W104" s="582">
        <f>_xlfn.XLOOKUP(A104,Sheet1!A:A,Sheet1!W:W,0,FALSE)+3199</f>
        <v>0</v>
      </c>
      <c r="X104" s="582">
        <f>V104-W104</f>
        <v>3151.4400000000023</v>
      </c>
      <c r="Y104" s="101">
        <f>_xlfn.XLOOKUP(A104,Sheet1!A:A,Sheet1!Y:Y,0,FALSE)</f>
        <v>6103.75</v>
      </c>
      <c r="Z104" s="101">
        <f t="shared" si="2"/>
        <v>9255.1900000000023</v>
      </c>
      <c r="AA104" s="101"/>
      <c r="AB104" s="581">
        <f>_xlfn.XLOOKUP(A104,'Carry Forward 2022'!A:A,'Carry Forward 2022'!B:B,0,FALSE)</f>
        <v>2190</v>
      </c>
      <c r="AC104" s="100">
        <f>_xlfn.XLOOKUP(AB104,'Blade-Export_15-08-2022_cfrdata'!D:D,'Blade-Export_15-08-2022_cfrdata'!BV:BV,0,FALSE)</f>
        <v>3151.44</v>
      </c>
      <c r="AD104" s="101">
        <f t="shared" si="3"/>
        <v>0</v>
      </c>
    </row>
    <row r="105" spans="1:30" x14ac:dyDescent="0.3">
      <c r="A105" s="100" t="s">
        <v>457</v>
      </c>
      <c r="B105" s="108" t="s">
        <v>975</v>
      </c>
      <c r="C105" s="101">
        <v>44892.780000000006</v>
      </c>
      <c r="D105" s="101">
        <v>12055</v>
      </c>
      <c r="E105" s="101">
        <v>56947.780000000006</v>
      </c>
      <c r="F105" s="101">
        <v>9301.7000000000007</v>
      </c>
      <c r="G105" s="101">
        <v>47646.080000000002</v>
      </c>
      <c r="H105" s="101">
        <v>11762.5</v>
      </c>
      <c r="I105" s="100">
        <v>25149</v>
      </c>
      <c r="J105" s="101">
        <v>84557.58</v>
      </c>
      <c r="K105" s="100">
        <v>28673.77</v>
      </c>
      <c r="L105" s="101">
        <v>55883.81</v>
      </c>
      <c r="M105" s="101">
        <v>11391.25</v>
      </c>
      <c r="N105" s="101">
        <v>67275.06</v>
      </c>
      <c r="O105" s="101">
        <v>67275.06</v>
      </c>
      <c r="P105" s="101">
        <v>0</v>
      </c>
      <c r="Q105" s="101" t="e">
        <v>#REF!</v>
      </c>
      <c r="R105" s="101">
        <v>11087.5</v>
      </c>
      <c r="S105" s="101">
        <v>6487</v>
      </c>
      <c r="T105" s="101">
        <v>4600.5</v>
      </c>
      <c r="U105" s="101">
        <v>10738.75</v>
      </c>
      <c r="V105" s="101">
        <v>15339.25</v>
      </c>
      <c r="W105" s="101">
        <f>_xlfn.XLOOKUP(A105,Sheet1!A:A,Sheet1!W:W,0,FALSE)</f>
        <v>10570.24</v>
      </c>
      <c r="X105" s="101">
        <f>_xlfn.XLOOKUP(A105,Sheet1!A:A,Sheet1!X:X,0,FALSE)</f>
        <v>4769.01</v>
      </c>
      <c r="Y105" s="101">
        <f>_xlfn.XLOOKUP(A105,Sheet1!A:A,Sheet1!Y:Y,0,FALSE)</f>
        <v>10412.5</v>
      </c>
      <c r="Z105" s="101">
        <f t="shared" si="2"/>
        <v>15181.51</v>
      </c>
      <c r="AA105" s="101"/>
      <c r="AB105" s="581">
        <f>_xlfn.XLOOKUP(A105,'Carry Forward 2022'!A:A,'Carry Forward 2022'!B:B,0,FALSE)</f>
        <v>2192</v>
      </c>
      <c r="AC105" s="100">
        <f>_xlfn.XLOOKUP(AB105,'Blade-Export_15-08-2022_cfrdata'!D:D,'Blade-Export_15-08-2022_cfrdata'!BV:BV,0,FALSE)</f>
        <v>4769.01</v>
      </c>
      <c r="AD105" s="101">
        <f t="shared" si="3"/>
        <v>0</v>
      </c>
    </row>
    <row r="106" spans="1:30" x14ac:dyDescent="0.3">
      <c r="A106" s="100" t="s">
        <v>459</v>
      </c>
      <c r="B106" s="118" t="s">
        <v>974</v>
      </c>
      <c r="C106" s="101">
        <v>7562</v>
      </c>
      <c r="D106" s="101">
        <v>7467.25</v>
      </c>
      <c r="E106" s="101">
        <v>15029.25</v>
      </c>
      <c r="F106" s="101"/>
      <c r="G106" s="101">
        <v>15029.25</v>
      </c>
      <c r="H106" s="101">
        <v>7503.25</v>
      </c>
      <c r="I106" s="100">
        <v>12995.94</v>
      </c>
      <c r="J106" s="101">
        <v>35528.44</v>
      </c>
      <c r="K106" s="100">
        <v>0</v>
      </c>
      <c r="L106" s="101">
        <v>35528.44</v>
      </c>
      <c r="M106" s="101">
        <v>7673.13</v>
      </c>
      <c r="N106" s="101">
        <v>43201.57</v>
      </c>
      <c r="O106" s="101">
        <v>43202</v>
      </c>
      <c r="P106" s="101">
        <v>-0.43000000000029104</v>
      </c>
      <c r="Q106" s="101" t="e">
        <v>#REF!</v>
      </c>
      <c r="R106" s="101">
        <v>7685.07</v>
      </c>
      <c r="S106" s="101">
        <v>7685</v>
      </c>
      <c r="T106" s="101">
        <v>6.9999999999708962E-2</v>
      </c>
      <c r="U106" s="101">
        <v>7699</v>
      </c>
      <c r="V106" s="101">
        <v>7699.07</v>
      </c>
      <c r="W106" s="101">
        <f>_xlfn.XLOOKUP(A106,Sheet1!A:A,Sheet1!W:W,0,FALSE)</f>
        <v>0</v>
      </c>
      <c r="X106" s="101">
        <f>_xlfn.XLOOKUP(A106,Sheet1!A:A,Sheet1!X:X,0,FALSE)</f>
        <v>7699.07</v>
      </c>
      <c r="Y106" s="101">
        <f>_xlfn.XLOOKUP(A106,Sheet1!A:A,Sheet1!Y:Y,0,FALSE)</f>
        <v>7663</v>
      </c>
      <c r="Z106" s="101">
        <f t="shared" si="2"/>
        <v>15362.07</v>
      </c>
      <c r="AA106" s="101"/>
      <c r="AB106" s="581">
        <f>_xlfn.XLOOKUP(A106,'Carry Forward 2022'!A:A,'Carry Forward 2022'!B:B,0,FALSE)</f>
        <v>5203</v>
      </c>
      <c r="AC106" s="100">
        <f>_xlfn.XLOOKUP(AB106,'Blade-Export_15-08-2022_cfrdata'!D:D,'Blade-Export_15-08-2022_cfrdata'!BV:BV,0,FALSE)</f>
        <v>7699.07</v>
      </c>
      <c r="AD106" s="101">
        <f t="shared" si="3"/>
        <v>0</v>
      </c>
    </row>
    <row r="107" spans="1:30" x14ac:dyDescent="0.3">
      <c r="A107" s="100" t="s">
        <v>461</v>
      </c>
      <c r="B107" s="118" t="s">
        <v>973</v>
      </c>
      <c r="C107" s="101">
        <v>16089</v>
      </c>
      <c r="D107" s="101">
        <v>8038.75</v>
      </c>
      <c r="E107" s="101">
        <v>24127.75</v>
      </c>
      <c r="F107" s="101">
        <v>24127.5</v>
      </c>
      <c r="G107" s="101">
        <v>0.25</v>
      </c>
      <c r="H107" s="101">
        <v>8027.5</v>
      </c>
      <c r="I107" s="100">
        <v>14491.8</v>
      </c>
      <c r="J107" s="101">
        <v>22519.55</v>
      </c>
      <c r="K107" s="100">
        <v>0</v>
      </c>
      <c r="L107" s="101">
        <v>22519.55</v>
      </c>
      <c r="M107" s="101">
        <v>8061.25</v>
      </c>
      <c r="N107" s="101">
        <v>30580.799999999999</v>
      </c>
      <c r="O107" s="101">
        <v>14492</v>
      </c>
      <c r="P107" s="101">
        <v>16088.8</v>
      </c>
      <c r="Q107" s="101" t="e">
        <v>#REF!</v>
      </c>
      <c r="R107" s="101">
        <v>24127.55</v>
      </c>
      <c r="S107" s="101">
        <v>0</v>
      </c>
      <c r="T107" s="101">
        <v>24127.55</v>
      </c>
      <c r="U107" s="101">
        <v>8038.75</v>
      </c>
      <c r="V107" s="101">
        <v>32166.3</v>
      </c>
      <c r="W107" s="101">
        <f>_xlfn.XLOOKUP(A107,Sheet1!A:A,Sheet1!W:W,0,FALSE)</f>
        <v>0</v>
      </c>
      <c r="X107" s="101">
        <f>_xlfn.XLOOKUP(A107,Sheet1!A:A,Sheet1!X:X,0,FALSE)</f>
        <v>32166.3</v>
      </c>
      <c r="Y107" s="101">
        <f>_xlfn.XLOOKUP(A107,Sheet1!A:A,Sheet1!Y:Y,0,FALSE)</f>
        <v>8038.75</v>
      </c>
      <c r="Z107" s="101">
        <f t="shared" si="2"/>
        <v>40205.050000000003</v>
      </c>
      <c r="AA107" s="101"/>
      <c r="AB107" s="581">
        <f>_xlfn.XLOOKUP(A107,'Carry Forward 2022'!A:A,'Carry Forward 2022'!B:B,0,FALSE)</f>
        <v>5202</v>
      </c>
      <c r="AC107" s="100">
        <f>_xlfn.XLOOKUP(AB107,'Blade-Export_15-08-2022_cfrdata'!D:D,'Blade-Export_15-08-2022_cfrdata'!BV:BV,0,FALSE)</f>
        <v>32166.3</v>
      </c>
      <c r="AD107" s="101">
        <f t="shared" si="3"/>
        <v>0</v>
      </c>
    </row>
    <row r="108" spans="1:30" x14ac:dyDescent="0.3">
      <c r="A108" s="100" t="s">
        <v>463</v>
      </c>
      <c r="B108" s="100" t="s">
        <v>972</v>
      </c>
      <c r="C108" s="101">
        <v>83188.679999999993</v>
      </c>
      <c r="D108" s="101">
        <v>13234</v>
      </c>
      <c r="E108" s="101">
        <v>96422.68</v>
      </c>
      <c r="F108" s="101">
        <v>46258</v>
      </c>
      <c r="G108" s="101">
        <v>50164.679999999993</v>
      </c>
      <c r="H108" s="101">
        <v>13834.75</v>
      </c>
      <c r="I108" s="100">
        <v>31061.82</v>
      </c>
      <c r="J108" s="101">
        <v>95061.25</v>
      </c>
      <c r="K108" s="100">
        <v>0</v>
      </c>
      <c r="L108" s="101">
        <v>95061.25</v>
      </c>
      <c r="M108" s="101">
        <v>14194.75</v>
      </c>
      <c r="N108" s="101">
        <v>109256</v>
      </c>
      <c r="O108" s="101">
        <v>20701.5</v>
      </c>
      <c r="P108" s="101">
        <v>88554.5</v>
      </c>
      <c r="Q108" s="101" t="e">
        <v>#REF!</v>
      </c>
      <c r="R108" s="101">
        <v>102589.5</v>
      </c>
      <c r="S108" s="101">
        <v>3876.32</v>
      </c>
      <c r="T108" s="101">
        <v>98713.18</v>
      </c>
      <c r="U108" s="101">
        <v>14199.25</v>
      </c>
      <c r="V108" s="101">
        <v>112912.43</v>
      </c>
      <c r="W108" s="101">
        <f>_xlfn.XLOOKUP(A108,Sheet1!A:A,Sheet1!W:W,0,FALSE)</f>
        <v>9321</v>
      </c>
      <c r="X108" s="101">
        <f>_xlfn.XLOOKUP(A108,Sheet1!A:A,Sheet1!X:X,0,FALSE)</f>
        <v>103591.43</v>
      </c>
      <c r="Y108" s="101">
        <f>_xlfn.XLOOKUP(A108,Sheet1!A:A,Sheet1!Y:Y,0,FALSE)</f>
        <v>14107</v>
      </c>
      <c r="Z108" s="101">
        <f t="shared" si="2"/>
        <v>117698.43</v>
      </c>
      <c r="AA108" s="101"/>
      <c r="AB108" s="581">
        <f>_xlfn.XLOOKUP(A108,'Carry Forward 2022'!A:A,'Carry Forward 2022'!B:B,0,FALSE)</f>
        <v>2108</v>
      </c>
      <c r="AC108" s="100">
        <f>_xlfn.XLOOKUP(AB108,'Blade-Export_15-08-2022_cfrdata'!D:D,'Blade-Export_15-08-2022_cfrdata'!BV:BV,0,FALSE)</f>
        <v>103591.43</v>
      </c>
      <c r="AD108" s="101">
        <f t="shared" si="3"/>
        <v>0</v>
      </c>
    </row>
    <row r="109" spans="1:30" x14ac:dyDescent="0.3">
      <c r="A109" s="100" t="s">
        <v>465</v>
      </c>
      <c r="B109" s="100" t="s">
        <v>971</v>
      </c>
      <c r="C109" s="101">
        <v>0</v>
      </c>
      <c r="D109" s="101">
        <v>6283.75</v>
      </c>
      <c r="E109" s="101">
        <v>6283.75</v>
      </c>
      <c r="F109" s="101"/>
      <c r="G109" s="101">
        <v>6283.75</v>
      </c>
      <c r="H109" s="101">
        <v>6295</v>
      </c>
      <c r="I109" s="100">
        <v>9548.4</v>
      </c>
      <c r="J109" s="101">
        <v>22127.15</v>
      </c>
      <c r="K109" s="100">
        <v>5254</v>
      </c>
      <c r="L109" s="101">
        <v>16873.150000000001</v>
      </c>
      <c r="M109" s="101">
        <v>6272.5</v>
      </c>
      <c r="N109" s="101">
        <v>23145.65</v>
      </c>
      <c r="O109" s="101">
        <v>4158</v>
      </c>
      <c r="P109" s="101">
        <v>18987.650000000001</v>
      </c>
      <c r="Q109" s="101" t="e">
        <v>#REF!</v>
      </c>
      <c r="R109" s="101">
        <v>25125.15</v>
      </c>
      <c r="S109" s="101">
        <v>4121.62</v>
      </c>
      <c r="T109" s="101">
        <v>21003.530000000002</v>
      </c>
      <c r="U109" s="101">
        <v>6238.75</v>
      </c>
      <c r="V109" s="101">
        <v>27242.280000000002</v>
      </c>
      <c r="W109" s="101">
        <f>_xlfn.XLOOKUP(A109,Sheet1!A:A,Sheet1!W:W,0,FALSE)</f>
        <v>3945</v>
      </c>
      <c r="X109" s="101">
        <f>_xlfn.XLOOKUP(A109,Sheet1!A:A,Sheet1!X:X,0,FALSE)</f>
        <v>23297.280000000002</v>
      </c>
      <c r="Y109" s="101">
        <f>_xlfn.XLOOKUP(A109,Sheet1!A:A,Sheet1!Y:Y,0,FALSE)</f>
        <v>5991.25</v>
      </c>
      <c r="Z109" s="101">
        <f t="shared" si="2"/>
        <v>29288.530000000002</v>
      </c>
      <c r="AA109" s="101"/>
      <c r="AB109" s="581">
        <f>_xlfn.XLOOKUP(A109,'Carry Forward 2022'!A:A,'Carry Forward 2022'!B:B,0,FALSE)</f>
        <v>2306</v>
      </c>
      <c r="AC109" s="100">
        <f>_xlfn.XLOOKUP(AB109,'Blade-Export_15-08-2022_cfrdata'!D:D,'Blade-Export_15-08-2022_cfrdata'!BV:BV,0,FALSE)</f>
        <v>23297.279999999999</v>
      </c>
      <c r="AD109" s="101">
        <f t="shared" si="3"/>
        <v>0</v>
      </c>
    </row>
    <row r="110" spans="1:30" x14ac:dyDescent="0.3">
      <c r="A110" s="100" t="s">
        <v>467</v>
      </c>
      <c r="B110" s="100" t="s">
        <v>970</v>
      </c>
      <c r="C110" s="101">
        <v>12533</v>
      </c>
      <c r="D110" s="101">
        <v>9107.5</v>
      </c>
      <c r="E110" s="101">
        <v>21640.5</v>
      </c>
      <c r="F110" s="101">
        <v>14404</v>
      </c>
      <c r="G110" s="101">
        <v>7236.5</v>
      </c>
      <c r="H110" s="101">
        <v>9440.5</v>
      </c>
      <c r="I110" s="100">
        <v>18523.560000000001</v>
      </c>
      <c r="J110" s="101">
        <v>35200.559999999998</v>
      </c>
      <c r="K110" s="100">
        <v>14983.16</v>
      </c>
      <c r="L110" s="101">
        <v>20217.399999999998</v>
      </c>
      <c r="M110" s="101">
        <v>9607</v>
      </c>
      <c r="N110" s="101">
        <v>29824.399999999998</v>
      </c>
      <c r="O110" s="101">
        <v>5085</v>
      </c>
      <c r="P110" s="101">
        <v>24739.399999999998</v>
      </c>
      <c r="Q110" s="101" t="e">
        <v>#REF!</v>
      </c>
      <c r="R110" s="101">
        <v>34407.149999999994</v>
      </c>
      <c r="S110" s="101">
        <v>7791</v>
      </c>
      <c r="T110" s="101">
        <v>26616.149999999994</v>
      </c>
      <c r="U110" s="101">
        <v>9159.25</v>
      </c>
      <c r="V110" s="101">
        <v>35775.399999999994</v>
      </c>
      <c r="W110" s="101">
        <f>_xlfn.XLOOKUP(A110,Sheet1!A:A,Sheet1!W:W,0,FALSE)</f>
        <v>0</v>
      </c>
      <c r="X110" s="101">
        <f>_xlfn.XLOOKUP(A110,Sheet1!A:A,Sheet1!X:X,0,FALSE)</f>
        <v>35775.399999999994</v>
      </c>
      <c r="Y110" s="101">
        <f>_xlfn.XLOOKUP(A110,Sheet1!A:A,Sheet1!Y:Y,0,FALSE)</f>
        <v>8972.5</v>
      </c>
      <c r="Z110" s="101">
        <f t="shared" si="2"/>
        <v>44747.899999999994</v>
      </c>
      <c r="AA110" s="101"/>
      <c r="AB110" s="581">
        <f>_xlfn.XLOOKUP(A110,'Carry Forward 2022'!A:A,'Carry Forward 2022'!B:B,0,FALSE)</f>
        <v>2482</v>
      </c>
      <c r="AC110" s="100">
        <f>_xlfn.XLOOKUP(AB110,'Blade-Export_15-08-2022_cfrdata'!D:D,'Blade-Export_15-08-2022_cfrdata'!BV:BV,0,FALSE)</f>
        <v>35775.4</v>
      </c>
      <c r="AD110" s="101">
        <f t="shared" si="3"/>
        <v>0</v>
      </c>
    </row>
    <row r="111" spans="1:30" x14ac:dyDescent="0.3">
      <c r="A111" s="100" t="s">
        <v>469</v>
      </c>
      <c r="B111" s="118" t="s">
        <v>969</v>
      </c>
      <c r="C111" s="101">
        <v>0</v>
      </c>
      <c r="D111" s="101">
        <v>9145.75</v>
      </c>
      <c r="E111" s="101">
        <v>9145.75</v>
      </c>
      <c r="F111" s="101"/>
      <c r="G111" s="101">
        <v>9145.75</v>
      </c>
      <c r="H111" s="101">
        <v>9080.5</v>
      </c>
      <c r="I111" s="100">
        <v>17496.36</v>
      </c>
      <c r="J111" s="101">
        <v>35722.61</v>
      </c>
      <c r="K111" s="100">
        <v>0</v>
      </c>
      <c r="L111" s="101">
        <v>35722.61</v>
      </c>
      <c r="M111" s="101">
        <v>9076</v>
      </c>
      <c r="N111" s="101">
        <v>44798.61</v>
      </c>
      <c r="O111" s="101">
        <v>17496</v>
      </c>
      <c r="P111" s="101">
        <v>27302.61</v>
      </c>
      <c r="Q111" s="101" t="e">
        <v>#REF!</v>
      </c>
      <c r="R111" s="101">
        <v>36266.11</v>
      </c>
      <c r="S111" s="101">
        <v>36266</v>
      </c>
      <c r="T111" s="101">
        <v>0.11000000000058208</v>
      </c>
      <c r="U111" s="101">
        <v>8839.75</v>
      </c>
      <c r="V111" s="101">
        <v>8839.86</v>
      </c>
      <c r="W111" s="101">
        <f>_xlfn.XLOOKUP(A111,Sheet1!A:A,Sheet1!W:W,0,FALSE)</f>
        <v>0</v>
      </c>
      <c r="X111" s="101">
        <f>_xlfn.XLOOKUP(A111,Sheet1!A:A,Sheet1!X:X,0,FALSE)</f>
        <v>8839.86</v>
      </c>
      <c r="Y111" s="101">
        <f>_xlfn.XLOOKUP(A111,Sheet1!A:A,Sheet1!Y:Y,0,FALSE)</f>
        <v>8687.8799999999992</v>
      </c>
      <c r="Z111" s="101">
        <f t="shared" si="2"/>
        <v>17527.739999999998</v>
      </c>
      <c r="AA111" s="101"/>
      <c r="AB111" s="581">
        <f>_xlfn.XLOOKUP(A111,'Carry Forward 2022'!A:A,'Carry Forward 2022'!B:B,0,FALSE)</f>
        <v>2308</v>
      </c>
      <c r="AC111" s="100">
        <f>_xlfn.XLOOKUP(AB111,'Blade-Export_15-08-2022_cfrdata'!D:D,'Blade-Export_15-08-2022_cfrdata'!BV:BV,0,FALSE)</f>
        <v>8839.86</v>
      </c>
      <c r="AD111" s="101">
        <f t="shared" si="3"/>
        <v>0</v>
      </c>
    </row>
    <row r="112" spans="1:30" x14ac:dyDescent="0.3">
      <c r="A112" s="100" t="s">
        <v>471</v>
      </c>
      <c r="B112" s="100" t="s">
        <v>968</v>
      </c>
      <c r="C112" s="101">
        <v>13506.919999999998</v>
      </c>
      <c r="D112" s="101">
        <v>6682</v>
      </c>
      <c r="E112" s="101">
        <v>20188.919999999998</v>
      </c>
      <c r="F112" s="101">
        <v>20188.919999999998</v>
      </c>
      <c r="G112" s="101">
        <v>0</v>
      </c>
      <c r="H112" s="101">
        <v>6621.25</v>
      </c>
      <c r="I112" s="100">
        <v>10479.299999999999</v>
      </c>
      <c r="J112" s="101">
        <v>17100.55</v>
      </c>
      <c r="K112" s="100">
        <v>2893.3</v>
      </c>
      <c r="L112" s="101">
        <v>14207.25</v>
      </c>
      <c r="M112" s="101">
        <v>6637</v>
      </c>
      <c r="N112" s="101">
        <v>20844.25</v>
      </c>
      <c r="O112" s="101">
        <v>0</v>
      </c>
      <c r="P112" s="101">
        <v>20844.25</v>
      </c>
      <c r="Q112" s="101" t="e">
        <v>#REF!</v>
      </c>
      <c r="R112" s="101">
        <v>27330.5</v>
      </c>
      <c r="S112" s="101">
        <v>1224</v>
      </c>
      <c r="T112" s="101">
        <v>26106.5</v>
      </c>
      <c r="U112" s="101">
        <v>6643.75</v>
      </c>
      <c r="V112" s="101">
        <v>32750.25</v>
      </c>
      <c r="W112" s="582">
        <f>_xlfn.XLOOKUP(A112,Sheet1!A:A,Sheet1!W:W,0,FALSE)+7616.38</f>
        <v>7236.38</v>
      </c>
      <c r="X112" s="582">
        <f>V112-W112</f>
        <v>25513.87</v>
      </c>
      <c r="Y112" s="101">
        <f>_xlfn.XLOOKUP(A112,Sheet1!A:A,Sheet1!Y:Y,0,FALSE)</f>
        <v>6551.5</v>
      </c>
      <c r="Z112" s="101">
        <f t="shared" si="2"/>
        <v>32065.37</v>
      </c>
      <c r="AA112" s="101"/>
      <c r="AB112" s="581">
        <f>_xlfn.XLOOKUP(A112,'Carry Forward 2022'!A:A,'Carry Forward 2022'!B:B,0,FALSE)</f>
        <v>2245</v>
      </c>
      <c r="AC112" s="100">
        <f>_xlfn.XLOOKUP(AB112,'Blade-Export_15-08-2022_cfrdata'!D:D,'Blade-Export_15-08-2022_cfrdata'!BV:BV,0,FALSE)</f>
        <v>25513.87</v>
      </c>
      <c r="AD112" s="101">
        <f t="shared" si="3"/>
        <v>0</v>
      </c>
    </row>
    <row r="113" spans="1:30" x14ac:dyDescent="0.3">
      <c r="A113" s="100" t="s">
        <v>473</v>
      </c>
      <c r="B113" s="100" t="s">
        <v>967</v>
      </c>
      <c r="C113" s="101">
        <v>0</v>
      </c>
      <c r="D113" s="101">
        <v>8545</v>
      </c>
      <c r="E113" s="101">
        <v>8545</v>
      </c>
      <c r="F113" s="101">
        <v>8545</v>
      </c>
      <c r="G113" s="101">
        <v>0</v>
      </c>
      <c r="H113" s="101">
        <v>8657.5</v>
      </c>
      <c r="I113" s="100">
        <v>16289.4</v>
      </c>
      <c r="J113" s="101">
        <v>24946.9</v>
      </c>
      <c r="K113" s="100">
        <v>0</v>
      </c>
      <c r="L113" s="101">
        <v>24946.9</v>
      </c>
      <c r="M113" s="101">
        <v>8668.75</v>
      </c>
      <c r="N113" s="101">
        <v>33615.65</v>
      </c>
      <c r="O113" s="101">
        <v>28988.140000000003</v>
      </c>
      <c r="P113" s="101">
        <v>4627.5099999999984</v>
      </c>
      <c r="Q113" s="101" t="e">
        <v>#REF!</v>
      </c>
      <c r="R113" s="101">
        <v>13195.009999999998</v>
      </c>
      <c r="S113" s="101">
        <v>6360</v>
      </c>
      <c r="T113" s="101">
        <v>6835.0099999999984</v>
      </c>
      <c r="U113" s="101">
        <v>8545</v>
      </c>
      <c r="V113" s="101">
        <v>15380.009999999998</v>
      </c>
      <c r="W113" s="101">
        <f>_xlfn.XLOOKUP(A113,Sheet1!A:A,Sheet1!W:W,0,FALSE)</f>
        <v>9190</v>
      </c>
      <c r="X113" s="101">
        <f>_xlfn.XLOOKUP(A113,Sheet1!A:A,Sheet1!X:X,0,FALSE)</f>
        <v>6190.0099999999984</v>
      </c>
      <c r="Y113" s="101">
        <f>_xlfn.XLOOKUP(A113,Sheet1!A:A,Sheet1!Y:Y,0,FALSE)</f>
        <v>8522.5</v>
      </c>
      <c r="Z113" s="101">
        <f t="shared" si="2"/>
        <v>14712.509999999998</v>
      </c>
      <c r="AA113" s="101"/>
      <c r="AB113" s="581">
        <f>_xlfn.XLOOKUP(A113,'Carry Forward 2022'!A:A,'Carry Forward 2022'!B:B,0,FALSE)</f>
        <v>2019</v>
      </c>
      <c r="AC113" s="100">
        <f>_xlfn.XLOOKUP(AB113,'Blade-Export_15-08-2022_cfrdata'!D:D,'Blade-Export_15-08-2022_cfrdata'!BV:BV,0,FALSE)</f>
        <v>6190.01</v>
      </c>
      <c r="AD113" s="101">
        <f t="shared" si="3"/>
        <v>0</v>
      </c>
    </row>
    <row r="114" spans="1:30" x14ac:dyDescent="0.3">
      <c r="A114" s="100" t="s">
        <v>475</v>
      </c>
      <c r="B114" s="116" t="s">
        <v>966</v>
      </c>
      <c r="C114" s="101">
        <v>51855.179999999993</v>
      </c>
      <c r="D114" s="101">
        <v>11443</v>
      </c>
      <c r="E114" s="101">
        <v>63298.179999999993</v>
      </c>
      <c r="F114" s="101">
        <v>63298.18</v>
      </c>
      <c r="G114" s="101">
        <v>0</v>
      </c>
      <c r="H114" s="101">
        <v>11425</v>
      </c>
      <c r="I114" s="100">
        <v>24186</v>
      </c>
      <c r="J114" s="101">
        <v>35611</v>
      </c>
      <c r="K114" s="100">
        <v>0</v>
      </c>
      <c r="L114" s="101">
        <v>35611</v>
      </c>
      <c r="M114" s="101">
        <v>11447.5</v>
      </c>
      <c r="N114" s="101">
        <v>47058.5</v>
      </c>
      <c r="O114" s="101">
        <v>23735</v>
      </c>
      <c r="P114" s="101">
        <v>23323.5</v>
      </c>
      <c r="Q114" s="101" t="e">
        <v>#REF!</v>
      </c>
      <c r="R114" s="101">
        <v>34722.85</v>
      </c>
      <c r="S114" s="101">
        <v>0</v>
      </c>
      <c r="T114" s="101">
        <v>34722.85</v>
      </c>
      <c r="U114" s="101">
        <v>11170.75</v>
      </c>
      <c r="V114" s="101">
        <v>45893.599999999999</v>
      </c>
      <c r="W114" s="101">
        <f>_xlfn.XLOOKUP(A114,Sheet1!A:A,Sheet1!W:W,0,FALSE)</f>
        <v>0</v>
      </c>
      <c r="X114" s="101">
        <f>_xlfn.XLOOKUP(A114,Sheet1!A:A,Sheet1!X:X,0,FALSE)</f>
        <v>45893.599999999999</v>
      </c>
      <c r="Y114" s="101">
        <f>_xlfn.XLOOKUP(A114,Sheet1!A:A,Sheet1!Y:Y,0,FALSE)</f>
        <v>11124.62</v>
      </c>
      <c r="Z114" s="101">
        <f t="shared" si="2"/>
        <v>57018.22</v>
      </c>
      <c r="AA114" s="101"/>
      <c r="AB114" s="581">
        <f>_xlfn.XLOOKUP(A114,'Carry Forward 2022'!A:A,'Carry Forward 2022'!B:B,0,FALSE)</f>
        <v>2011</v>
      </c>
      <c r="AC114" s="100">
        <f>_xlfn.XLOOKUP(AB114,'Blade-Export_15-08-2022_cfrdata'!D:D,'Blade-Export_15-08-2022_cfrdata'!BV:BV,0,FALSE)</f>
        <v>45893.599999999999</v>
      </c>
      <c r="AD114" s="101">
        <f t="shared" si="3"/>
        <v>0</v>
      </c>
    </row>
    <row r="115" spans="1:30" x14ac:dyDescent="0.3">
      <c r="A115" s="100" t="s">
        <v>477</v>
      </c>
      <c r="B115" s="100" t="s">
        <v>965</v>
      </c>
      <c r="C115" s="101">
        <v>9.9999999983992893E-3</v>
      </c>
      <c r="D115" s="101">
        <v>9400</v>
      </c>
      <c r="E115" s="101">
        <v>9400.0099999999984</v>
      </c>
      <c r="F115" s="101"/>
      <c r="G115" s="101">
        <v>9400.0099999999984</v>
      </c>
      <c r="H115" s="101">
        <v>9415.75</v>
      </c>
      <c r="I115" s="100">
        <v>18452.939999999999</v>
      </c>
      <c r="J115" s="101">
        <v>37268.699999999997</v>
      </c>
      <c r="K115" s="100">
        <v>37269</v>
      </c>
      <c r="L115" s="101">
        <v>-0.30000000000291038</v>
      </c>
      <c r="M115" s="101">
        <v>9343.75</v>
      </c>
      <c r="N115" s="101">
        <v>9343.4499999999971</v>
      </c>
      <c r="O115" s="101">
        <v>6234.16</v>
      </c>
      <c r="P115" s="101">
        <v>3109.2899999999972</v>
      </c>
      <c r="Q115" s="101" t="e">
        <v>#REF!</v>
      </c>
      <c r="R115" s="101">
        <v>12556.539999999997</v>
      </c>
      <c r="S115" s="101">
        <v>3290.33</v>
      </c>
      <c r="T115" s="101">
        <v>9266.2099999999973</v>
      </c>
      <c r="U115" s="101">
        <v>9121</v>
      </c>
      <c r="V115" s="101">
        <v>18387.21</v>
      </c>
      <c r="W115" s="101">
        <f>_xlfn.XLOOKUP(A115,Sheet1!A:A,Sheet1!W:W,0,FALSE)</f>
        <v>0</v>
      </c>
      <c r="X115" s="101">
        <f>_xlfn.XLOOKUP(A115,Sheet1!A:A,Sheet1!X:X,0,FALSE)</f>
        <v>18387.21</v>
      </c>
      <c r="Y115" s="101">
        <f>_xlfn.XLOOKUP(A115,Sheet1!A:A,Sheet1!Y:Y,0,FALSE)</f>
        <v>9064.75</v>
      </c>
      <c r="Z115" s="101">
        <f t="shared" si="2"/>
        <v>27451.96</v>
      </c>
      <c r="AA115" s="101"/>
      <c r="AB115" s="581">
        <f>_xlfn.XLOOKUP(A115,'Carry Forward 2022'!A:A,'Carry Forward 2022'!B:B,0,FALSE)</f>
        <v>2478</v>
      </c>
      <c r="AC115" s="100">
        <f>_xlfn.XLOOKUP(AB115,'Blade-Export_15-08-2022_cfrdata'!D:D,'Blade-Export_15-08-2022_cfrdata'!BV:BV,0,FALSE)</f>
        <v>18387.21</v>
      </c>
      <c r="AD115" s="101">
        <f t="shared" si="3"/>
        <v>0</v>
      </c>
    </row>
    <row r="116" spans="1:30" x14ac:dyDescent="0.3">
      <c r="A116" s="100" t="s">
        <v>964</v>
      </c>
      <c r="B116" s="100" t="s">
        <v>963</v>
      </c>
      <c r="C116" s="101">
        <v>12439.380000000001</v>
      </c>
      <c r="D116" s="101">
        <v>7606.75</v>
      </c>
      <c r="E116" s="101">
        <v>20046.13</v>
      </c>
      <c r="F116" s="101">
        <v>20045.86</v>
      </c>
      <c r="G116" s="101">
        <v>0.27000000000043656</v>
      </c>
      <c r="H116" s="101">
        <v>7474</v>
      </c>
      <c r="I116" s="100">
        <v>12912.48</v>
      </c>
      <c r="J116" s="101">
        <v>20386.75</v>
      </c>
      <c r="K116" s="100">
        <v>6038</v>
      </c>
      <c r="L116" s="101">
        <v>14348.75</v>
      </c>
      <c r="M116" s="101">
        <v>7505.5</v>
      </c>
      <c r="N116" s="101">
        <v>21854.25</v>
      </c>
      <c r="O116" s="101">
        <v>0</v>
      </c>
      <c r="P116" s="101">
        <v>0</v>
      </c>
      <c r="Q116" s="101">
        <v>0</v>
      </c>
      <c r="R116" s="101">
        <v>0</v>
      </c>
      <c r="S116" s="101">
        <v>0</v>
      </c>
      <c r="T116" s="101">
        <v>0</v>
      </c>
      <c r="U116" s="101"/>
      <c r="V116" s="101">
        <v>0</v>
      </c>
      <c r="W116" s="101">
        <f>_xlfn.XLOOKUP(A116,Sheet1!A:A,Sheet1!W:W,0,FALSE)</f>
        <v>0</v>
      </c>
      <c r="X116" s="101">
        <f>_xlfn.XLOOKUP(A116,Sheet1!A:A,Sheet1!X:X,0,FALSE)</f>
        <v>0</v>
      </c>
      <c r="Y116" s="101">
        <f>_xlfn.XLOOKUP(A116,Sheet1!A:A,Sheet1!Y:Y,0,FALSE)</f>
        <v>0</v>
      </c>
      <c r="Z116" s="101">
        <f t="shared" si="2"/>
        <v>0</v>
      </c>
      <c r="AA116" s="101"/>
      <c r="AB116" s="581">
        <f>_xlfn.XLOOKUP(A116,'Carry Forward 2022'!A:A,'Carry Forward 2022'!B:B,0,FALSE)</f>
        <v>0</v>
      </c>
      <c r="AC116" s="100">
        <f>_xlfn.XLOOKUP(AB116,'Blade-Export_15-08-2022_cfrdata'!D:D,'Blade-Export_15-08-2022_cfrdata'!BV:BV,0,FALSE)</f>
        <v>0</v>
      </c>
      <c r="AD116" s="101">
        <f t="shared" si="3"/>
        <v>0</v>
      </c>
    </row>
    <row r="117" spans="1:30" x14ac:dyDescent="0.3">
      <c r="A117" s="100" t="s">
        <v>479</v>
      </c>
      <c r="B117" s="118" t="s">
        <v>962</v>
      </c>
      <c r="C117" s="101">
        <v>7960.2000000000007</v>
      </c>
      <c r="D117" s="101">
        <v>7993.75</v>
      </c>
      <c r="E117" s="101">
        <v>15953.95</v>
      </c>
      <c r="F117" s="101"/>
      <c r="G117" s="101">
        <v>15953.95</v>
      </c>
      <c r="H117" s="101">
        <v>8038.75</v>
      </c>
      <c r="I117" s="100">
        <v>14523.9</v>
      </c>
      <c r="J117" s="101">
        <v>38516.6</v>
      </c>
      <c r="K117" s="100">
        <v>0</v>
      </c>
      <c r="L117" s="101">
        <v>38516.6</v>
      </c>
      <c r="M117" s="101">
        <v>8038.75</v>
      </c>
      <c r="N117" s="101">
        <v>46555.35</v>
      </c>
      <c r="O117" s="101">
        <v>0</v>
      </c>
      <c r="P117" s="101">
        <v>68409.600000000006</v>
      </c>
      <c r="Q117" s="101" t="e">
        <v>#REF!</v>
      </c>
      <c r="R117" s="101">
        <v>79914.48000000001</v>
      </c>
      <c r="S117" s="101">
        <v>0</v>
      </c>
      <c r="T117" s="101">
        <v>79914.48000000001</v>
      </c>
      <c r="U117" s="101">
        <v>11406.55</v>
      </c>
      <c r="V117" s="101">
        <v>91321.030000000013</v>
      </c>
      <c r="W117" s="101">
        <f>_xlfn.XLOOKUP(A117,Sheet1!A:A,Sheet1!W:W,0,FALSE)</f>
        <v>0</v>
      </c>
      <c r="X117" s="101">
        <f>_xlfn.XLOOKUP(A117,Sheet1!A:A,Sheet1!X:X,0,FALSE)</f>
        <v>91321.030000000013</v>
      </c>
      <c r="Y117" s="101">
        <f>_xlfn.XLOOKUP(A117,Sheet1!A:A,Sheet1!Y:Y,0,FALSE)</f>
        <v>11359.75</v>
      </c>
      <c r="Z117" s="101">
        <f t="shared" si="2"/>
        <v>102680.78000000001</v>
      </c>
      <c r="AA117" s="101"/>
      <c r="AB117" s="581">
        <f>_xlfn.XLOOKUP(A117,'Carry Forward 2022'!A:A,'Carry Forward 2022'!B:B,0,FALSE)</f>
        <v>2293</v>
      </c>
      <c r="AC117" s="100">
        <f>_xlfn.XLOOKUP(AB117,'Blade-Export_15-08-2022_cfrdata'!D:D,'Blade-Export_15-08-2022_cfrdata'!BV:BV,0,FALSE)</f>
        <v>91321.03</v>
      </c>
      <c r="AD117" s="101">
        <f t="shared" si="3"/>
        <v>0</v>
      </c>
    </row>
    <row r="118" spans="1:30" x14ac:dyDescent="0.3">
      <c r="A118" s="100" t="s">
        <v>481</v>
      </c>
      <c r="B118" s="100" t="s">
        <v>961</v>
      </c>
      <c r="C118" s="101">
        <v>1201.6000000000004</v>
      </c>
      <c r="D118" s="101">
        <v>6295</v>
      </c>
      <c r="E118" s="101">
        <v>7496.6</v>
      </c>
      <c r="F118" s="101">
        <v>4889.5</v>
      </c>
      <c r="G118" s="101">
        <v>2607.1000000000004</v>
      </c>
      <c r="H118" s="101">
        <v>6328.75</v>
      </c>
      <c r="I118" s="100">
        <v>9644.7000000000007</v>
      </c>
      <c r="J118" s="101">
        <v>18580.550000000003</v>
      </c>
      <c r="K118" s="100">
        <v>8296</v>
      </c>
      <c r="L118" s="101">
        <v>10284.550000000003</v>
      </c>
      <c r="M118" s="101">
        <v>6340</v>
      </c>
      <c r="N118" s="101">
        <v>16624.550000000003</v>
      </c>
      <c r="O118" s="101">
        <v>13970</v>
      </c>
      <c r="P118" s="101">
        <v>2654.5500000000029</v>
      </c>
      <c r="Q118" s="101" t="e">
        <v>#REF!</v>
      </c>
      <c r="R118" s="101">
        <v>8983.3000000000029</v>
      </c>
      <c r="S118" s="101">
        <v>0</v>
      </c>
      <c r="T118" s="101">
        <v>8983.3000000000029</v>
      </c>
      <c r="U118" s="101">
        <v>6362.5</v>
      </c>
      <c r="V118" s="101">
        <v>15345.800000000003</v>
      </c>
      <c r="W118" s="101">
        <f>_xlfn.XLOOKUP(A118,Sheet1!A:A,Sheet1!W:W,0,FALSE)</f>
        <v>7602.0400000000018</v>
      </c>
      <c r="X118" s="101">
        <f>_xlfn.XLOOKUP(A118,Sheet1!A:A,Sheet1!X:X,0,FALSE)</f>
        <v>7743.7600000000011</v>
      </c>
      <c r="Y118" s="101">
        <f>_xlfn.XLOOKUP(A118,Sheet1!A:A,Sheet1!Y:Y,0,FALSE)</f>
        <v>6289.38</v>
      </c>
      <c r="Z118" s="101">
        <f t="shared" si="2"/>
        <v>14033.140000000001</v>
      </c>
      <c r="AA118" s="101"/>
      <c r="AB118" s="581">
        <f>_xlfn.XLOOKUP(A118,'Carry Forward 2022'!A:A,'Carry Forward 2022'!B:B,0,FALSE)</f>
        <v>2445</v>
      </c>
      <c r="AC118" s="100">
        <f>_xlfn.XLOOKUP(AB118,'Blade-Export_15-08-2022_cfrdata'!D:D,'Blade-Export_15-08-2022_cfrdata'!BV:BV,0,FALSE)</f>
        <v>7743.76</v>
      </c>
      <c r="AD118" s="101">
        <f t="shared" si="3"/>
        <v>0</v>
      </c>
    </row>
    <row r="119" spans="1:30" x14ac:dyDescent="0.3">
      <c r="A119" s="100" t="s">
        <v>483</v>
      </c>
      <c r="B119" s="100" t="s">
        <v>960</v>
      </c>
      <c r="C119" s="101">
        <v>0.27999999999883585</v>
      </c>
      <c r="D119" s="101">
        <v>8556.25</v>
      </c>
      <c r="E119" s="101">
        <v>8556.5299999999988</v>
      </c>
      <c r="F119" s="101">
        <v>1154</v>
      </c>
      <c r="G119" s="101">
        <v>7402.5299999999988</v>
      </c>
      <c r="H119" s="101">
        <v>8533.75</v>
      </c>
      <c r="I119" s="100">
        <v>15936.3</v>
      </c>
      <c r="J119" s="101">
        <v>31872.579999999998</v>
      </c>
      <c r="K119" s="100">
        <v>7397</v>
      </c>
      <c r="L119" s="101">
        <v>24475.579999999998</v>
      </c>
      <c r="M119" s="101">
        <v>8477.5</v>
      </c>
      <c r="N119" s="101">
        <v>32953.08</v>
      </c>
      <c r="O119" s="101">
        <v>32953.08</v>
      </c>
      <c r="P119" s="101">
        <v>0</v>
      </c>
      <c r="Q119" s="101" t="e">
        <v>#REF!</v>
      </c>
      <c r="R119" s="101">
        <v>8365</v>
      </c>
      <c r="S119" s="101">
        <v>0</v>
      </c>
      <c r="T119" s="101">
        <v>8365</v>
      </c>
      <c r="U119" s="101">
        <v>8488.75</v>
      </c>
      <c r="V119" s="101">
        <v>16853.75</v>
      </c>
      <c r="W119" s="101">
        <f>_xlfn.XLOOKUP(A119,Sheet1!A:A,Sheet1!W:W,0,FALSE)</f>
        <v>0</v>
      </c>
      <c r="X119" s="101">
        <f>_xlfn.XLOOKUP(A119,Sheet1!A:A,Sheet1!X:X,0,FALSE)</f>
        <v>16853.75</v>
      </c>
      <c r="Y119" s="101">
        <f>_xlfn.XLOOKUP(A119,Sheet1!A:A,Sheet1!Y:Y,0,FALSE)</f>
        <v>8376.25</v>
      </c>
      <c r="Z119" s="101">
        <f t="shared" si="2"/>
        <v>25230</v>
      </c>
      <c r="AA119" s="101"/>
      <c r="AB119" s="581">
        <f>_xlfn.XLOOKUP(A119,'Carry Forward 2022'!A:A,'Carry Forward 2022'!B:B,0,FALSE)</f>
        <v>2278</v>
      </c>
      <c r="AC119" s="100">
        <f>_xlfn.XLOOKUP(AB119,'Blade-Export_15-08-2022_cfrdata'!D:D,'Blade-Export_15-08-2022_cfrdata'!BV:BV,0,FALSE)</f>
        <v>16853.75</v>
      </c>
      <c r="AD119" s="101">
        <f t="shared" si="3"/>
        <v>0</v>
      </c>
    </row>
    <row r="120" spans="1:30" x14ac:dyDescent="0.3">
      <c r="A120" s="100" t="s">
        <v>485</v>
      </c>
      <c r="B120" s="100" t="s">
        <v>959</v>
      </c>
      <c r="C120" s="101">
        <v>7368.51</v>
      </c>
      <c r="D120" s="101">
        <v>6362.5</v>
      </c>
      <c r="E120" s="101">
        <v>13731.01</v>
      </c>
      <c r="F120" s="101">
        <v>13731.01</v>
      </c>
      <c r="G120" s="101">
        <v>0</v>
      </c>
      <c r="H120" s="101">
        <v>6362.5</v>
      </c>
      <c r="I120" s="100">
        <v>9741</v>
      </c>
      <c r="J120" s="101">
        <v>16103.5</v>
      </c>
      <c r="K120" s="100">
        <v>4130</v>
      </c>
      <c r="L120" s="101">
        <v>11973.5</v>
      </c>
      <c r="M120" s="101">
        <v>6362.5</v>
      </c>
      <c r="N120" s="101">
        <v>18336</v>
      </c>
      <c r="O120" s="101">
        <v>12550.87</v>
      </c>
      <c r="P120" s="101">
        <v>5785.1299999999992</v>
      </c>
      <c r="Q120" s="101" t="e">
        <v>#REF!</v>
      </c>
      <c r="R120" s="101">
        <v>12170.13</v>
      </c>
      <c r="S120" s="101">
        <v>2458</v>
      </c>
      <c r="T120" s="101">
        <v>9712.1299999999992</v>
      </c>
      <c r="U120" s="101">
        <v>6340</v>
      </c>
      <c r="V120" s="101">
        <v>16052.13</v>
      </c>
      <c r="W120" s="101">
        <f>_xlfn.XLOOKUP(A120,Sheet1!A:A,Sheet1!W:W,0,FALSE)</f>
        <v>2800</v>
      </c>
      <c r="X120" s="101">
        <f>_xlfn.XLOOKUP(A120,Sheet1!A:A,Sheet1!X:X,0,FALSE)</f>
        <v>13252.13</v>
      </c>
      <c r="Y120" s="101">
        <f>_xlfn.XLOOKUP(A120,Sheet1!A:A,Sheet1!Y:Y,0,FALSE)</f>
        <v>6317.5</v>
      </c>
      <c r="Z120" s="101">
        <f t="shared" si="2"/>
        <v>19569.629999999997</v>
      </c>
      <c r="AA120" s="101"/>
      <c r="AB120" s="581">
        <f>_xlfn.XLOOKUP(A120,'Carry Forward 2022'!A:A,'Carry Forward 2022'!B:B,0,FALSE)</f>
        <v>2314</v>
      </c>
      <c r="AC120" s="100">
        <f>_xlfn.XLOOKUP(AB120,'Blade-Export_15-08-2022_cfrdata'!D:D,'Blade-Export_15-08-2022_cfrdata'!BV:BV,0,FALSE)</f>
        <v>13252.13</v>
      </c>
      <c r="AD120" s="101">
        <f t="shared" si="3"/>
        <v>0</v>
      </c>
    </row>
    <row r="121" spans="1:30" x14ac:dyDescent="0.3">
      <c r="A121" s="100" t="s">
        <v>487</v>
      </c>
      <c r="B121" s="119" t="s">
        <v>958</v>
      </c>
      <c r="C121" s="101">
        <v>6505.2099999999991</v>
      </c>
      <c r="D121" s="101">
        <v>7600</v>
      </c>
      <c r="E121" s="101">
        <v>14105.21</v>
      </c>
      <c r="F121" s="101">
        <v>14105.18</v>
      </c>
      <c r="G121" s="101">
        <v>2.9999999998835847E-2</v>
      </c>
      <c r="H121" s="101">
        <v>7602.25</v>
      </c>
      <c r="I121" s="100">
        <v>13278.42</v>
      </c>
      <c r="J121" s="101">
        <v>20880.699999999997</v>
      </c>
      <c r="K121" s="100">
        <v>7984.36</v>
      </c>
      <c r="L121" s="101">
        <v>12896.339999999997</v>
      </c>
      <c r="M121" s="101">
        <v>7618</v>
      </c>
      <c r="N121" s="101">
        <v>20514.339999999997</v>
      </c>
      <c r="O121" s="101">
        <v>20347.560000000001</v>
      </c>
      <c r="P121" s="101">
        <v>166.7799999999952</v>
      </c>
      <c r="Q121" s="101" t="e">
        <v>#REF!</v>
      </c>
      <c r="R121" s="101">
        <v>7843.2799999999952</v>
      </c>
      <c r="S121" s="101">
        <v>7843</v>
      </c>
      <c r="T121" s="101">
        <v>0.27999999999519787</v>
      </c>
      <c r="U121" s="101">
        <v>7645</v>
      </c>
      <c r="V121" s="101">
        <v>7645.2799999999952</v>
      </c>
      <c r="W121" s="101">
        <f>_xlfn.XLOOKUP(A121,Sheet1!A:A,Sheet1!W:W,0,FALSE)</f>
        <v>0</v>
      </c>
      <c r="X121" s="101">
        <f>_xlfn.XLOOKUP(A121,Sheet1!A:A,Sheet1!X:X,0,FALSE)</f>
        <v>7645.2799999999952</v>
      </c>
      <c r="Y121" s="101">
        <f>_xlfn.XLOOKUP(A121,Sheet1!A:A,Sheet1!Y:Y,0,FALSE)</f>
        <v>7514.5</v>
      </c>
      <c r="Z121" s="101">
        <f t="shared" si="2"/>
        <v>15159.779999999995</v>
      </c>
      <c r="AA121" s="101"/>
      <c r="AB121" s="581">
        <f>_xlfn.XLOOKUP(A121,'Carry Forward 2022'!A:A,'Carry Forward 2022'!B:B,0,FALSE)</f>
        <v>2317</v>
      </c>
      <c r="AC121" s="100">
        <f>_xlfn.XLOOKUP(AB121,'Blade-Export_15-08-2022_cfrdata'!D:D,'Blade-Export_15-08-2022_cfrdata'!BV:BV,0,FALSE)</f>
        <v>7645.28</v>
      </c>
      <c r="AD121" s="101">
        <f t="shared" si="3"/>
        <v>0</v>
      </c>
    </row>
    <row r="122" spans="1:30" x14ac:dyDescent="0.3">
      <c r="A122" s="100" t="s">
        <v>489</v>
      </c>
      <c r="B122" s="118" t="s">
        <v>957</v>
      </c>
      <c r="C122" s="101">
        <v>0</v>
      </c>
      <c r="D122" s="101">
        <v>7566.25</v>
      </c>
      <c r="E122" s="101">
        <v>7566.25</v>
      </c>
      <c r="F122" s="101"/>
      <c r="G122" s="101">
        <v>7566.25</v>
      </c>
      <c r="H122" s="101">
        <v>8095</v>
      </c>
      <c r="I122" s="100">
        <v>14684.4</v>
      </c>
      <c r="J122" s="101">
        <v>30345.65</v>
      </c>
      <c r="K122" s="100">
        <v>15661</v>
      </c>
      <c r="L122" s="101">
        <v>14684.650000000001</v>
      </c>
      <c r="M122" s="101">
        <v>8038.75</v>
      </c>
      <c r="N122" s="101">
        <v>22723.4</v>
      </c>
      <c r="O122" s="101">
        <v>22000</v>
      </c>
      <c r="P122" s="101">
        <v>723.40000000000146</v>
      </c>
      <c r="Q122" s="101" t="e">
        <v>#REF!</v>
      </c>
      <c r="R122" s="101">
        <v>8829.6500000000015</v>
      </c>
      <c r="S122" s="101">
        <v>0</v>
      </c>
      <c r="T122" s="101">
        <v>8829.6500000000015</v>
      </c>
      <c r="U122" s="101">
        <v>8050</v>
      </c>
      <c r="V122" s="101">
        <v>16879.650000000001</v>
      </c>
      <c r="W122" s="101">
        <f>_xlfn.XLOOKUP(A122,Sheet1!A:A,Sheet1!W:W,0,FALSE)</f>
        <v>0</v>
      </c>
      <c r="X122" s="101">
        <f>_xlfn.XLOOKUP(A122,Sheet1!A:A,Sheet1!X:X,0,FALSE)</f>
        <v>16879.650000000001</v>
      </c>
      <c r="Y122" s="101">
        <f>_xlfn.XLOOKUP(A122,Sheet1!A:A,Sheet1!Y:Y,0,FALSE)</f>
        <v>8050</v>
      </c>
      <c r="Z122" s="101">
        <f t="shared" si="2"/>
        <v>24929.65</v>
      </c>
      <c r="AA122" s="101"/>
      <c r="AB122" s="581">
        <f>_xlfn.XLOOKUP(A122,'Carry Forward 2022'!A:A,'Carry Forward 2022'!B:B,0,FALSE)</f>
        <v>2225</v>
      </c>
      <c r="AC122" s="100">
        <f>_xlfn.XLOOKUP(AB122,'Blade-Export_15-08-2022_cfrdata'!D:D,'Blade-Export_15-08-2022_cfrdata'!BV:BV,0,FALSE)</f>
        <v>16879.650000000001</v>
      </c>
      <c r="AD122" s="101">
        <f t="shared" si="3"/>
        <v>0</v>
      </c>
    </row>
    <row r="123" spans="1:30" x14ac:dyDescent="0.3">
      <c r="A123" s="100" t="s">
        <v>491</v>
      </c>
      <c r="B123" s="100" t="s">
        <v>956</v>
      </c>
      <c r="C123" s="101">
        <v>3671.5999999999985</v>
      </c>
      <c r="D123" s="101">
        <v>8713.75</v>
      </c>
      <c r="E123" s="101">
        <v>12385.349999999999</v>
      </c>
      <c r="F123" s="101">
        <v>9820</v>
      </c>
      <c r="G123" s="101">
        <v>2565.3499999999985</v>
      </c>
      <c r="H123" s="101">
        <v>8691.25</v>
      </c>
      <c r="I123" s="100">
        <v>16385.7</v>
      </c>
      <c r="J123" s="101">
        <v>27642.3</v>
      </c>
      <c r="K123" s="100">
        <v>0</v>
      </c>
      <c r="L123" s="101">
        <v>27642.3</v>
      </c>
      <c r="M123" s="101">
        <v>8770</v>
      </c>
      <c r="N123" s="101">
        <v>36412.300000000003</v>
      </c>
      <c r="O123" s="101">
        <v>0</v>
      </c>
      <c r="P123" s="101">
        <v>36412.300000000003</v>
      </c>
      <c r="Q123" s="101" t="e">
        <v>#REF!</v>
      </c>
      <c r="R123" s="101">
        <v>45148.55</v>
      </c>
      <c r="S123" s="101">
        <v>0</v>
      </c>
      <c r="T123" s="101">
        <v>45148.55</v>
      </c>
      <c r="U123" s="101">
        <v>8730.6200000000008</v>
      </c>
      <c r="V123" s="101">
        <v>53879.170000000006</v>
      </c>
      <c r="W123" s="101">
        <f>_xlfn.XLOOKUP(A123,Sheet1!A:A,Sheet1!W:W,0,FALSE)</f>
        <v>0</v>
      </c>
      <c r="X123" s="101">
        <f>_xlfn.XLOOKUP(A123,Sheet1!A:A,Sheet1!X:X,0,FALSE)</f>
        <v>53879.170000000006</v>
      </c>
      <c r="Y123" s="101">
        <f>_xlfn.XLOOKUP(A123,Sheet1!A:A,Sheet1!Y:Y,0,FALSE)</f>
        <v>8713.75</v>
      </c>
      <c r="Z123" s="101">
        <f t="shared" si="2"/>
        <v>62592.920000000006</v>
      </c>
      <c r="AA123" s="101"/>
      <c r="AB123" s="581">
        <f>_xlfn.XLOOKUP(A123,'Carry Forward 2022'!A:A,'Carry Forward 2022'!B:B,0,FALSE)</f>
        <v>2412</v>
      </c>
      <c r="AC123" s="100">
        <f>_xlfn.XLOOKUP(AB123,'Blade-Export_15-08-2022_cfrdata'!D:D,'Blade-Export_15-08-2022_cfrdata'!BV:BV,0,FALSE)</f>
        <v>53879.17</v>
      </c>
      <c r="AD123" s="101">
        <f t="shared" si="3"/>
        <v>0</v>
      </c>
    </row>
    <row r="124" spans="1:30" x14ac:dyDescent="0.3">
      <c r="A124" s="100" t="s">
        <v>493</v>
      </c>
      <c r="B124" s="100" t="s">
        <v>955</v>
      </c>
      <c r="C124" s="101">
        <v>9.9999999998544808E-2</v>
      </c>
      <c r="D124" s="101">
        <v>12718.75</v>
      </c>
      <c r="E124" s="101">
        <v>12718.849999999999</v>
      </c>
      <c r="F124" s="101">
        <v>12718.85</v>
      </c>
      <c r="G124" s="101">
        <v>0</v>
      </c>
      <c r="H124" s="101">
        <v>13112.5</v>
      </c>
      <c r="I124" s="100">
        <v>29001</v>
      </c>
      <c r="J124" s="101">
        <v>42113.5</v>
      </c>
      <c r="K124" s="100">
        <v>13112.5</v>
      </c>
      <c r="L124" s="101">
        <v>29001</v>
      </c>
      <c r="M124" s="101">
        <v>13438.75</v>
      </c>
      <c r="N124" s="101">
        <v>42439.75</v>
      </c>
      <c r="O124" s="101">
        <v>2433.62</v>
      </c>
      <c r="P124" s="101">
        <v>40006.129999999997</v>
      </c>
      <c r="Q124" s="101" t="e">
        <v>#REF!</v>
      </c>
      <c r="R124" s="101">
        <v>53444.88</v>
      </c>
      <c r="S124" s="101">
        <v>53444.880000000005</v>
      </c>
      <c r="T124" s="101">
        <v>0</v>
      </c>
      <c r="U124" s="101">
        <v>13450</v>
      </c>
      <c r="V124" s="101">
        <v>13450</v>
      </c>
      <c r="W124" s="582">
        <f>_xlfn.XLOOKUP(A124,Sheet1!A:A,Sheet1!W:W,0,FALSE)+12645</f>
        <v>12095</v>
      </c>
      <c r="X124" s="582">
        <f>V124-W124</f>
        <v>1355</v>
      </c>
      <c r="Y124" s="101">
        <f>_xlfn.XLOOKUP(A124,Sheet1!A:A,Sheet1!Y:Y,0,FALSE)</f>
        <v>13360</v>
      </c>
      <c r="Z124" s="101">
        <f t="shared" si="2"/>
        <v>14715</v>
      </c>
      <c r="AA124" s="101"/>
      <c r="AB124" s="581">
        <f>_xlfn.XLOOKUP(A124,'Carry Forward 2022'!A:A,'Carry Forward 2022'!B:B,0,FALSE)</f>
        <v>3421</v>
      </c>
      <c r="AC124" s="100">
        <f>_xlfn.XLOOKUP(AB124,'Blade-Export_15-08-2022_cfrdata'!D:D,'Blade-Export_15-08-2022_cfrdata'!BV:BV,0,FALSE)</f>
        <v>1355</v>
      </c>
      <c r="AD124" s="101">
        <f t="shared" si="3"/>
        <v>0</v>
      </c>
    </row>
    <row r="125" spans="1:30" x14ac:dyDescent="0.3">
      <c r="A125" s="100" t="s">
        <v>495</v>
      </c>
      <c r="B125" s="100" t="s">
        <v>954</v>
      </c>
      <c r="C125" s="101">
        <v>0.26000000000021828</v>
      </c>
      <c r="D125" s="101">
        <v>7422.25</v>
      </c>
      <c r="E125" s="101">
        <v>7422.51</v>
      </c>
      <c r="F125" s="101"/>
      <c r="G125" s="101">
        <v>7422.51</v>
      </c>
      <c r="H125" s="101">
        <v>7798</v>
      </c>
      <c r="I125" s="100">
        <v>13836.96</v>
      </c>
      <c r="J125" s="101">
        <v>29057.47</v>
      </c>
      <c r="K125" s="100">
        <v>15221</v>
      </c>
      <c r="L125" s="101">
        <v>13836.470000000001</v>
      </c>
      <c r="M125" s="101">
        <v>8277.25</v>
      </c>
      <c r="N125" s="101">
        <v>22113.72</v>
      </c>
      <c r="O125" s="101">
        <v>18147.27</v>
      </c>
      <c r="P125" s="101">
        <v>3966.4500000000007</v>
      </c>
      <c r="Q125" s="101" t="e">
        <v>#REF!</v>
      </c>
      <c r="R125" s="101">
        <v>12473.2</v>
      </c>
      <c r="S125" s="101">
        <v>6880</v>
      </c>
      <c r="T125" s="101">
        <v>5593.2000000000007</v>
      </c>
      <c r="U125" s="101">
        <v>8736.25</v>
      </c>
      <c r="V125" s="101">
        <v>14329.45</v>
      </c>
      <c r="W125" s="101">
        <f>_xlfn.XLOOKUP(A125,Sheet1!A:A,Sheet1!W:W,0,FALSE)</f>
        <v>12095</v>
      </c>
      <c r="X125" s="101">
        <f>_xlfn.XLOOKUP(A125,Sheet1!A:A,Sheet1!X:X,0,FALSE)</f>
        <v>2234.4500000000007</v>
      </c>
      <c r="Y125" s="101">
        <f>_xlfn.XLOOKUP(A125,Sheet1!A:A,Sheet1!Y:Y,0,FALSE)</f>
        <v>8650.75</v>
      </c>
      <c r="Z125" s="101">
        <f t="shared" si="2"/>
        <v>10885.2</v>
      </c>
      <c r="AA125" s="101"/>
      <c r="AB125" s="581">
        <f>_xlfn.XLOOKUP(A125,'Carry Forward 2022'!A:A,'Carry Forward 2022'!B:B,0,FALSE)</f>
        <v>2227</v>
      </c>
      <c r="AC125" s="100">
        <f>_xlfn.XLOOKUP(AB125,'Blade-Export_15-08-2022_cfrdata'!D:D,'Blade-Export_15-08-2022_cfrdata'!BV:BV,0,FALSE)</f>
        <v>2234.4499999999998</v>
      </c>
      <c r="AD125" s="101">
        <f t="shared" si="3"/>
        <v>0</v>
      </c>
    </row>
    <row r="126" spans="1:30" x14ac:dyDescent="0.3">
      <c r="A126" s="124" t="s">
        <v>953</v>
      </c>
      <c r="B126" s="124" t="s">
        <v>952</v>
      </c>
      <c r="C126" s="120">
        <v>9626.0600000000013</v>
      </c>
      <c r="D126" s="120">
        <v>8882.5</v>
      </c>
      <c r="E126" s="120">
        <v>18508.560000000001</v>
      </c>
      <c r="F126" s="120">
        <v>5291.45</v>
      </c>
      <c r="G126" s="120">
        <v>13217.11</v>
      </c>
      <c r="H126" s="120">
        <v>8815</v>
      </c>
      <c r="I126" s="124">
        <v>16738.8</v>
      </c>
      <c r="J126" s="120">
        <v>38770.910000000003</v>
      </c>
      <c r="K126" s="124">
        <v>13388</v>
      </c>
      <c r="L126" s="120">
        <v>25382.910000000003</v>
      </c>
      <c r="M126" s="120">
        <v>9445</v>
      </c>
      <c r="N126" s="120">
        <v>34827.910000000003</v>
      </c>
      <c r="O126" s="120">
        <v>34827.910000000003</v>
      </c>
      <c r="P126" s="120">
        <v>0</v>
      </c>
      <c r="Q126" s="121"/>
      <c r="R126" s="101">
        <v>0</v>
      </c>
      <c r="S126" s="101">
        <v>0</v>
      </c>
      <c r="T126" s="101">
        <v>0</v>
      </c>
      <c r="U126" s="101"/>
      <c r="V126" s="101">
        <v>0</v>
      </c>
      <c r="W126" s="101">
        <f>_xlfn.XLOOKUP(A126,Sheet1!A:A,Sheet1!W:W,0,FALSE)</f>
        <v>0</v>
      </c>
      <c r="X126" s="101">
        <f>_xlfn.XLOOKUP(A126,Sheet1!A:A,Sheet1!X:X,0,FALSE)</f>
        <v>0</v>
      </c>
      <c r="Y126" s="101">
        <f>_xlfn.XLOOKUP(A126,Sheet1!A:A,Sheet1!Y:Y,0,FALSE)</f>
        <v>0</v>
      </c>
      <c r="Z126" s="101">
        <f t="shared" si="2"/>
        <v>0</v>
      </c>
      <c r="AA126" s="101"/>
      <c r="AB126" s="581">
        <f>_xlfn.XLOOKUP(A126,'Carry Forward 2022'!A:A,'Carry Forward 2022'!B:B,0,FALSE)</f>
        <v>0</v>
      </c>
      <c r="AC126" s="100">
        <f>_xlfn.XLOOKUP(AB126,'Blade-Export_15-08-2022_cfrdata'!D:D,'Blade-Export_15-08-2022_cfrdata'!BV:BV,0,FALSE)</f>
        <v>0</v>
      </c>
      <c r="AD126" s="101">
        <f t="shared" si="3"/>
        <v>0</v>
      </c>
    </row>
    <row r="127" spans="1:30" ht="15" thickBot="1" x14ac:dyDescent="0.35">
      <c r="A127" s="100" t="s">
        <v>497</v>
      </c>
      <c r="B127" s="100" t="s">
        <v>951</v>
      </c>
      <c r="C127" s="101">
        <v>0.28000000000065484</v>
      </c>
      <c r="D127" s="101">
        <v>9073.75</v>
      </c>
      <c r="E127" s="101">
        <v>9074.0300000000007</v>
      </c>
      <c r="F127" s="101">
        <v>2546.9699999999998</v>
      </c>
      <c r="G127" s="101">
        <v>6527.0600000000013</v>
      </c>
      <c r="H127" s="101">
        <v>9044.5</v>
      </c>
      <c r="I127" s="100">
        <v>17393.64</v>
      </c>
      <c r="J127" s="101">
        <v>32965.199999999997</v>
      </c>
      <c r="K127" s="100">
        <v>15572</v>
      </c>
      <c r="L127" s="101">
        <v>17393.199999999997</v>
      </c>
      <c r="M127" s="101">
        <v>8961.25</v>
      </c>
      <c r="N127" s="101">
        <v>26354.449999999997</v>
      </c>
      <c r="O127" s="101">
        <v>25995.65</v>
      </c>
      <c r="P127" s="101">
        <v>358.79999999999563</v>
      </c>
      <c r="Q127" s="101" t="e">
        <v>#REF!</v>
      </c>
      <c r="R127" s="101">
        <v>9331.2999999999956</v>
      </c>
      <c r="S127" s="101">
        <v>0</v>
      </c>
      <c r="T127" s="101">
        <v>9331.2999999999956</v>
      </c>
      <c r="U127" s="101">
        <v>8853.25</v>
      </c>
      <c r="V127" s="101">
        <v>18184.549999999996</v>
      </c>
      <c r="W127" s="101">
        <f>_xlfn.XLOOKUP(A127,Sheet1!A:A,Sheet1!W:W,0,FALSE)</f>
        <v>17379</v>
      </c>
      <c r="X127" s="101">
        <f>_xlfn.XLOOKUP(A127,Sheet1!A:A,Sheet1!X:X,0,FALSE)</f>
        <v>805.54999999999563</v>
      </c>
      <c r="Y127" s="101">
        <f>_xlfn.XLOOKUP(A127,Sheet1!A:A,Sheet1!Y:Y,0,FALSE)</f>
        <v>8920.75</v>
      </c>
      <c r="Z127" s="101">
        <f t="shared" si="2"/>
        <v>9726.2999999999956</v>
      </c>
      <c r="AA127" s="101"/>
      <c r="AB127" s="581">
        <f>_xlfn.XLOOKUP(A127,'Carry Forward 2022'!A:A,'Carry Forward 2022'!B:B,0,FALSE)</f>
        <v>2231</v>
      </c>
      <c r="AC127" s="100">
        <f>_xlfn.XLOOKUP(AB127,'Blade-Export_15-08-2022_cfrdata'!D:D,'Blade-Export_15-08-2022_cfrdata'!BV:BV,0,FALSE)</f>
        <v>805.55</v>
      </c>
      <c r="AD127" s="101">
        <f t="shared" si="3"/>
        <v>-4.3200998334214091E-12</v>
      </c>
    </row>
    <row r="128" spans="1:30" ht="15" thickBot="1" x14ac:dyDescent="0.35">
      <c r="A128" s="115"/>
      <c r="B128" s="114" t="s">
        <v>885</v>
      </c>
      <c r="C128" s="113">
        <v>1381824.7700000003</v>
      </c>
      <c r="D128" s="113">
        <v>1068928.25</v>
      </c>
      <c r="E128" s="113">
        <v>2450753.02</v>
      </c>
      <c r="F128" s="113">
        <v>1085555</v>
      </c>
      <c r="G128" s="113">
        <v>1365198.0200000005</v>
      </c>
      <c r="H128" s="113">
        <v>1074518.8799999999</v>
      </c>
      <c r="I128" s="113">
        <v>2022707.1899999997</v>
      </c>
      <c r="J128" s="113">
        <v>4462424.09</v>
      </c>
      <c r="K128" s="113">
        <v>1141679.6200000001</v>
      </c>
      <c r="L128" s="113">
        <v>3320744.4700000007</v>
      </c>
      <c r="M128" s="113">
        <v>1080718.0900000001</v>
      </c>
      <c r="N128" s="113">
        <v>4401462.5600000015</v>
      </c>
      <c r="O128" s="113">
        <v>1914541.6900000002</v>
      </c>
      <c r="P128" s="113">
        <v>2486920.8699999987</v>
      </c>
      <c r="Q128" s="113" t="e">
        <v>#REF!</v>
      </c>
      <c r="R128" s="113">
        <v>3504984.3499999987</v>
      </c>
      <c r="S128" s="113">
        <v>1519440.8600000003</v>
      </c>
      <c r="T128" s="113">
        <v>1985543.4899999984</v>
      </c>
      <c r="U128" s="113">
        <v>1003438.3200000001</v>
      </c>
      <c r="V128" s="113">
        <v>2988981.8099999982</v>
      </c>
      <c r="W128" s="113">
        <f>SUM(W2:W127)</f>
        <v>646889.44999999995</v>
      </c>
      <c r="X128" s="113">
        <f>SUM(X2:X127)</f>
        <v>2342092.3599999989</v>
      </c>
      <c r="Y128" s="113">
        <f t="shared" ref="Y128:Z128" si="4">SUM(Y2:Y127)</f>
        <v>986359.74</v>
      </c>
      <c r="Z128" s="113">
        <f t="shared" si="4"/>
        <v>3328452.0999999992</v>
      </c>
      <c r="AA128" s="112"/>
      <c r="AB128" s="581">
        <f>_xlfn.XLOOKUP(A128,'Carry Forward 2022'!A:A,'Carry Forward 2022'!B:B,0,FALSE)</f>
        <v>0</v>
      </c>
      <c r="AC128" s="100">
        <f>_xlfn.XLOOKUP(AB128,'Blade-Export_15-08-2022_cfrdata'!D:D,'Blade-Export_15-08-2022_cfrdata'!BV:BV,0,FALSE)</f>
        <v>0</v>
      </c>
      <c r="AD128" s="101"/>
    </row>
    <row r="129" spans="1:30" x14ac:dyDescent="0.3">
      <c r="A129" s="101" t="s">
        <v>100</v>
      </c>
      <c r="B129" s="101" t="s">
        <v>950</v>
      </c>
      <c r="C129" s="101">
        <v>0</v>
      </c>
      <c r="D129" s="101">
        <v>4724.5</v>
      </c>
      <c r="E129" s="101">
        <v>4724.5</v>
      </c>
      <c r="F129" s="101"/>
      <c r="G129" s="101">
        <v>4724.5</v>
      </c>
      <c r="H129" s="101">
        <v>4897.75</v>
      </c>
      <c r="I129" s="100">
        <v>5561.58</v>
      </c>
      <c r="J129" s="101">
        <v>15183.83</v>
      </c>
      <c r="K129" s="100">
        <v>3750</v>
      </c>
      <c r="L129" s="101">
        <v>11433.83</v>
      </c>
      <c r="M129" s="101">
        <v>4931.5</v>
      </c>
      <c r="N129" s="101">
        <v>16365.33</v>
      </c>
      <c r="O129" s="101">
        <v>7366</v>
      </c>
      <c r="P129" s="101">
        <v>8999.33</v>
      </c>
      <c r="Q129" s="101" t="e">
        <v>#REF!</v>
      </c>
      <c r="R129" s="101">
        <v>14025.33</v>
      </c>
      <c r="S129" s="101">
        <v>14024.380000000001</v>
      </c>
      <c r="T129" s="101">
        <v>0.94999999999890861</v>
      </c>
      <c r="U129" s="101">
        <v>5113.75</v>
      </c>
      <c r="V129" s="101">
        <v>5114.6999999999989</v>
      </c>
      <c r="W129" s="101">
        <f>_xlfn.XLOOKUP(A129,Sheet1!A:A,Sheet1!W:W,0,FALSE)</f>
        <v>0</v>
      </c>
      <c r="X129" s="101">
        <f>_xlfn.XLOOKUP(A129,Sheet1!A:A,Sheet1!X:X,0,FALSE)</f>
        <v>5114.6999999999989</v>
      </c>
      <c r="Y129" s="101">
        <f>_xlfn.XLOOKUP(A129,Sheet1!A:A,Sheet1!Y:Y,0,FALSE)</f>
        <v>4864</v>
      </c>
      <c r="Z129" s="101">
        <f t="shared" ref="Z129:Z155" si="5">SUM(X129:Y129)</f>
        <v>9978.6999999999989</v>
      </c>
      <c r="AA129" s="101"/>
      <c r="AB129" s="581">
        <f>_xlfn.XLOOKUP(A129,'Carry Forward 2022'!A:A,'Carry Forward 2022'!B:B,0,FALSE)</f>
        <v>1027</v>
      </c>
      <c r="AC129" s="100">
        <f>_xlfn.XLOOKUP(AB129,'Blade-Export_15-08-2022_cfrdata'!D:D,'Blade-Export_15-08-2022_cfrdata'!BV:BV,0,FALSE)</f>
        <v>5114.7</v>
      </c>
      <c r="AD129" s="101">
        <f t="shared" si="3"/>
        <v>0</v>
      </c>
    </row>
    <row r="130" spans="1:30" x14ac:dyDescent="0.3">
      <c r="A130" s="121" t="s">
        <v>105</v>
      </c>
      <c r="B130" s="121" t="s">
        <v>949</v>
      </c>
      <c r="C130" s="101">
        <v>22851</v>
      </c>
      <c r="D130" s="101">
        <v>4832.95</v>
      </c>
      <c r="E130" s="101">
        <v>27683.95</v>
      </c>
      <c r="F130" s="101"/>
      <c r="G130" s="101">
        <v>27683.95</v>
      </c>
      <c r="H130" s="101">
        <v>5228.28</v>
      </c>
      <c r="I130" s="100">
        <v>6504.68</v>
      </c>
      <c r="J130" s="101">
        <v>39416.910000000003</v>
      </c>
      <c r="K130" s="100">
        <v>25612</v>
      </c>
      <c r="L130" s="101">
        <v>13804.910000000003</v>
      </c>
      <c r="M130" s="101">
        <v>5547.1</v>
      </c>
      <c r="N130" s="101">
        <v>19352.010000000002</v>
      </c>
      <c r="O130" s="101">
        <v>10340</v>
      </c>
      <c r="P130" s="101">
        <v>9012.010000000002</v>
      </c>
      <c r="Q130" s="101" t="e">
        <v>#REF!</v>
      </c>
      <c r="R130" s="101">
        <v>14488.460000000003</v>
      </c>
      <c r="S130" s="101">
        <v>0</v>
      </c>
      <c r="T130" s="101">
        <v>14488.460000000003</v>
      </c>
      <c r="U130" s="101">
        <v>5574.1</v>
      </c>
      <c r="V130" s="101">
        <v>20062.560000000005</v>
      </c>
      <c r="W130" s="101">
        <f>_xlfn.XLOOKUP(A130,Sheet1!A:A,Sheet1!W:W,0,FALSE)</f>
        <v>0</v>
      </c>
      <c r="X130" s="101">
        <f>_xlfn.XLOOKUP(A130,Sheet1!A:A,Sheet1!X:X,0,FALSE)</f>
        <v>20062.560000000005</v>
      </c>
      <c r="Y130" s="101">
        <f>_xlfn.XLOOKUP(A130,Sheet1!A:A,Sheet1!Y:Y,0,FALSE)</f>
        <v>5316.25</v>
      </c>
      <c r="Z130" s="101">
        <f t="shared" si="5"/>
        <v>25378.810000000005</v>
      </c>
      <c r="AA130" s="101"/>
      <c r="AB130" s="581">
        <f>_xlfn.XLOOKUP(A130,'Carry Forward 2022'!A:A,'Carry Forward 2022'!B:B,0,FALSE)</f>
        <v>1017</v>
      </c>
      <c r="AC130" s="100">
        <f>_xlfn.XLOOKUP(AB130,'Blade-Export_15-08-2022_cfrdata'!D:D,'Blade-Export_15-08-2022_cfrdata'!BV:BV,0,FALSE)</f>
        <v>20062.560000000001</v>
      </c>
      <c r="AD130" s="101">
        <f t="shared" si="3"/>
        <v>0</v>
      </c>
    </row>
    <row r="131" spans="1:30" x14ac:dyDescent="0.3">
      <c r="A131" s="101" t="s">
        <v>110</v>
      </c>
      <c r="B131" s="101" t="s">
        <v>948</v>
      </c>
      <c r="C131" s="101">
        <v>0.2000000000007276</v>
      </c>
      <c r="D131" s="101">
        <v>4522</v>
      </c>
      <c r="E131" s="101">
        <v>4522.2000000000007</v>
      </c>
      <c r="F131" s="101">
        <v>450</v>
      </c>
      <c r="G131" s="101">
        <v>4072.2000000000007</v>
      </c>
      <c r="H131" s="101">
        <v>4567</v>
      </c>
      <c r="I131" s="100">
        <v>4617.84</v>
      </c>
      <c r="J131" s="101">
        <v>13257.04</v>
      </c>
      <c r="K131" s="100">
        <v>3750</v>
      </c>
      <c r="L131" s="101">
        <v>9507.0400000000009</v>
      </c>
      <c r="M131" s="101">
        <v>5136.7</v>
      </c>
      <c r="N131" s="101">
        <v>14643.740000000002</v>
      </c>
      <c r="O131" s="101">
        <v>5621.91</v>
      </c>
      <c r="P131" s="101">
        <v>9021.8300000000017</v>
      </c>
      <c r="Q131" s="101" t="e">
        <v>#REF!</v>
      </c>
      <c r="R131" s="101">
        <v>14189.580000000002</v>
      </c>
      <c r="S131" s="101">
        <v>14159</v>
      </c>
      <c r="T131" s="101">
        <v>30.580000000001746</v>
      </c>
      <c r="U131" s="101">
        <v>5029.38</v>
      </c>
      <c r="V131" s="101">
        <v>5059.9600000000019</v>
      </c>
      <c r="W131" s="101">
        <f>_xlfn.XLOOKUP(A131,Sheet1!A:A,Sheet1!W:W,0,FALSE)</f>
        <v>0</v>
      </c>
      <c r="X131" s="101">
        <f>_xlfn.XLOOKUP(A131,Sheet1!A:A,Sheet1!X:X,0,FALSE)</f>
        <v>5059.9600000000019</v>
      </c>
      <c r="Y131" s="101">
        <f>_xlfn.XLOOKUP(A131,Sheet1!A:A,Sheet1!Y:Y,0,FALSE)</f>
        <v>4874.12</v>
      </c>
      <c r="Z131" s="101">
        <f t="shared" si="5"/>
        <v>9934.0800000000017</v>
      </c>
      <c r="AA131" s="101"/>
      <c r="AB131" s="581">
        <f>_xlfn.XLOOKUP(A131,'Carry Forward 2022'!A:A,'Carry Forward 2022'!B:B,0,FALSE)</f>
        <v>1025</v>
      </c>
      <c r="AC131" s="100">
        <f>_xlfn.XLOOKUP(AB131,'Blade-Export_15-08-2022_cfrdata'!D:D,'Blade-Export_15-08-2022_cfrdata'!BV:BV,0,FALSE)</f>
        <v>5059.96</v>
      </c>
      <c r="AD131" s="101">
        <f t="shared" ref="AD131:AD193" si="6">X131-AC131</f>
        <v>0</v>
      </c>
    </row>
    <row r="132" spans="1:30" x14ac:dyDescent="0.3">
      <c r="A132" s="101" t="s">
        <v>112</v>
      </c>
      <c r="B132" s="101" t="s">
        <v>947</v>
      </c>
      <c r="C132" s="101">
        <v>27440.880000000001</v>
      </c>
      <c r="D132" s="101">
        <v>4722.25</v>
      </c>
      <c r="E132" s="101">
        <v>32163.13</v>
      </c>
      <c r="F132" s="101">
        <v>15120</v>
      </c>
      <c r="G132" s="101">
        <v>17043.13</v>
      </c>
      <c r="H132" s="101">
        <v>4749.25</v>
      </c>
      <c r="I132" s="100">
        <v>5137.8599999999997</v>
      </c>
      <c r="J132" s="101">
        <v>26930.240000000002</v>
      </c>
      <c r="K132" s="100">
        <v>5034.5200000000004</v>
      </c>
      <c r="L132" s="101">
        <v>21895.72</v>
      </c>
      <c r="M132" s="101">
        <v>4749.25</v>
      </c>
      <c r="N132" s="101">
        <v>26644.97</v>
      </c>
      <c r="O132" s="101">
        <v>14372.49</v>
      </c>
      <c r="P132" s="101">
        <v>12272.480000000001</v>
      </c>
      <c r="Q132" s="101" t="e">
        <v>#REF!</v>
      </c>
      <c r="R132" s="101">
        <v>17035.230000000003</v>
      </c>
      <c r="S132" s="101">
        <v>0</v>
      </c>
      <c r="T132" s="101">
        <v>17035.230000000003</v>
      </c>
      <c r="U132" s="101">
        <v>4769.5</v>
      </c>
      <c r="V132" s="101">
        <v>21804.730000000003</v>
      </c>
      <c r="W132" s="101">
        <f>_xlfn.XLOOKUP(A132,Sheet1!A:A,Sheet1!W:W,0,FALSE)</f>
        <v>0</v>
      </c>
      <c r="X132" s="101">
        <f>_xlfn.XLOOKUP(A132,Sheet1!A:A,Sheet1!X:X,0,FALSE)</f>
        <v>21804.730000000003</v>
      </c>
      <c r="Y132" s="101">
        <f>_xlfn.XLOOKUP(A132,Sheet1!A:A,Sheet1!Y:Y,0,FALSE)</f>
        <v>4472.5</v>
      </c>
      <c r="Z132" s="101">
        <f t="shared" si="5"/>
        <v>26277.230000000003</v>
      </c>
      <c r="AA132" s="101"/>
      <c r="AB132" s="581">
        <f>_xlfn.XLOOKUP(A132,'Carry Forward 2022'!A:A,'Carry Forward 2022'!B:B,0,FALSE)</f>
        <v>1001</v>
      </c>
      <c r="AC132" s="100">
        <f>_xlfn.XLOOKUP(AB132,'Blade-Export_15-08-2022_cfrdata'!D:D,'Blade-Export_15-08-2022_cfrdata'!BV:BV,0,FALSE)</f>
        <v>21804.73</v>
      </c>
      <c r="AD132" s="101">
        <f t="shared" si="6"/>
        <v>0</v>
      </c>
    </row>
    <row r="133" spans="1:30" x14ac:dyDescent="0.3">
      <c r="A133" s="101" t="s">
        <v>114</v>
      </c>
      <c r="B133" s="101" t="s">
        <v>946</v>
      </c>
      <c r="C133" s="101">
        <v>1317.0599999999995</v>
      </c>
      <c r="D133" s="101">
        <v>4830.25</v>
      </c>
      <c r="E133" s="101">
        <v>6147.3099999999995</v>
      </c>
      <c r="F133" s="101">
        <v>1118</v>
      </c>
      <c r="G133" s="101">
        <v>5029.3099999999995</v>
      </c>
      <c r="H133" s="101">
        <v>4645.75</v>
      </c>
      <c r="I133" s="100">
        <v>4842.54</v>
      </c>
      <c r="J133" s="101">
        <v>14517.599999999999</v>
      </c>
      <c r="K133" s="100">
        <v>900</v>
      </c>
      <c r="L133" s="101">
        <v>13617.599999999999</v>
      </c>
      <c r="M133" s="101">
        <v>5221.75</v>
      </c>
      <c r="N133" s="101">
        <v>18839.349999999999</v>
      </c>
      <c r="O133" s="101">
        <v>0</v>
      </c>
      <c r="P133" s="101">
        <v>18839.349999999999</v>
      </c>
      <c r="Q133" s="101" t="e">
        <v>#REF!</v>
      </c>
      <c r="R133" s="101">
        <v>24135.35</v>
      </c>
      <c r="S133" s="101">
        <v>2618.5</v>
      </c>
      <c r="T133" s="101">
        <v>21516.85</v>
      </c>
      <c r="U133" s="101">
        <v>5086.75</v>
      </c>
      <c r="V133" s="101">
        <v>26603.599999999999</v>
      </c>
      <c r="W133" s="101">
        <f>_xlfn.XLOOKUP(A133,Sheet1!A:A,Sheet1!W:W,0,FALSE)</f>
        <v>7890</v>
      </c>
      <c r="X133" s="101">
        <f>_xlfn.XLOOKUP(A133,Sheet1!A:A,Sheet1!X:X,0,FALSE)</f>
        <v>18713.599999999999</v>
      </c>
      <c r="Y133" s="101">
        <f>_xlfn.XLOOKUP(A133,Sheet1!A:A,Sheet1!Y:Y,0,FALSE)</f>
        <v>4965.25</v>
      </c>
      <c r="Z133" s="101">
        <f t="shared" si="5"/>
        <v>23678.85</v>
      </c>
      <c r="AA133" s="101"/>
      <c r="AB133" s="581">
        <f>_xlfn.XLOOKUP(A133,'Carry Forward 2022'!A:A,'Carry Forward 2022'!B:B,0,FALSE)</f>
        <v>1002</v>
      </c>
      <c r="AC133" s="100">
        <f>_xlfn.XLOOKUP(AB133,'Blade-Export_15-08-2022_cfrdata'!D:D,'Blade-Export_15-08-2022_cfrdata'!BV:BV,0,FALSE)</f>
        <v>18713.599999999999</v>
      </c>
      <c r="AD133" s="101">
        <f t="shared" si="6"/>
        <v>0</v>
      </c>
    </row>
    <row r="134" spans="1:30" x14ac:dyDescent="0.3">
      <c r="A134" s="101" t="s">
        <v>116</v>
      </c>
      <c r="B134" s="101" t="s">
        <v>945</v>
      </c>
      <c r="C134" s="101">
        <v>4628.1000000000004</v>
      </c>
      <c r="D134" s="101">
        <v>4837</v>
      </c>
      <c r="E134" s="101">
        <v>9465.1</v>
      </c>
      <c r="F134" s="101"/>
      <c r="G134" s="101">
        <v>9465.1</v>
      </c>
      <c r="H134" s="101">
        <v>4852.75</v>
      </c>
      <c r="I134" s="100">
        <v>5433.18</v>
      </c>
      <c r="J134" s="101">
        <v>19751.03</v>
      </c>
      <c r="K134" s="100">
        <v>0</v>
      </c>
      <c r="L134" s="101">
        <v>19751.03</v>
      </c>
      <c r="M134" s="101">
        <v>4904.5</v>
      </c>
      <c r="N134" s="101">
        <v>24655.53</v>
      </c>
      <c r="O134" s="101">
        <v>0</v>
      </c>
      <c r="P134" s="101">
        <v>24655.53</v>
      </c>
      <c r="Q134" s="101" t="e">
        <v>#REF!</v>
      </c>
      <c r="R134" s="101">
        <v>29636.53</v>
      </c>
      <c r="S134" s="101">
        <v>3755.49</v>
      </c>
      <c r="T134" s="101">
        <v>25881.040000000001</v>
      </c>
      <c r="U134" s="101">
        <v>5235.25</v>
      </c>
      <c r="V134" s="101">
        <v>31116.29</v>
      </c>
      <c r="W134" s="101">
        <f>_xlfn.XLOOKUP(A134,Sheet1!A:A,Sheet1!W:W,0,FALSE)</f>
        <v>5.1159076974727213E-13</v>
      </c>
      <c r="X134" s="101">
        <f>_xlfn.XLOOKUP(A134,Sheet1!A:A,Sheet1!X:X,0,FALSE)</f>
        <v>31116.29</v>
      </c>
      <c r="Y134" s="101">
        <f>_xlfn.XLOOKUP(A134,Sheet1!A:A,Sheet1!Y:Y,0,FALSE)</f>
        <v>5167.75</v>
      </c>
      <c r="Z134" s="101">
        <f t="shared" si="5"/>
        <v>36284.04</v>
      </c>
      <c r="AA134" s="101"/>
      <c r="AB134" s="581">
        <f>_xlfn.XLOOKUP(A134,'Carry Forward 2022'!A:A,'Carry Forward 2022'!B:B,0,FALSE)</f>
        <v>1048</v>
      </c>
      <c r="AC134" s="100">
        <f>_xlfn.XLOOKUP(AB134,'Blade-Export_15-08-2022_cfrdata'!D:D,'Blade-Export_15-08-2022_cfrdata'!BV:BV,0,FALSE)</f>
        <v>31116.29</v>
      </c>
      <c r="AD134" s="101">
        <f t="shared" si="6"/>
        <v>0</v>
      </c>
    </row>
    <row r="135" spans="1:30" x14ac:dyDescent="0.3">
      <c r="A135" s="101" t="s">
        <v>158</v>
      </c>
      <c r="B135" s="101" t="s">
        <v>944</v>
      </c>
      <c r="C135" s="101">
        <v>3621.26</v>
      </c>
      <c r="D135" s="101">
        <v>4382.5</v>
      </c>
      <c r="E135" s="101">
        <v>8003.76</v>
      </c>
      <c r="F135" s="101">
        <v>3480</v>
      </c>
      <c r="G135" s="101">
        <v>4523.76</v>
      </c>
      <c r="H135" s="101">
        <v>4472.5</v>
      </c>
      <c r="I135" s="100">
        <v>4472.5</v>
      </c>
      <c r="J135" s="101">
        <v>13468.76</v>
      </c>
      <c r="K135" s="100">
        <v>459.48</v>
      </c>
      <c r="L135" s="101">
        <v>13009.28</v>
      </c>
      <c r="M135" s="101">
        <v>4553.5</v>
      </c>
      <c r="N135" s="101">
        <v>17562.78</v>
      </c>
      <c r="O135" s="117">
        <v>4498.3</v>
      </c>
      <c r="P135" s="101">
        <v>13064.48</v>
      </c>
      <c r="Q135" s="101" t="e">
        <v>#REF!</v>
      </c>
      <c r="R135" s="101">
        <v>17703.03</v>
      </c>
      <c r="S135" s="101">
        <v>9641.4399999999987</v>
      </c>
      <c r="T135" s="101">
        <v>8061.59</v>
      </c>
      <c r="U135" s="101">
        <v>4652.05</v>
      </c>
      <c r="V135" s="101">
        <v>12713.64</v>
      </c>
      <c r="W135" s="101">
        <f>_xlfn.XLOOKUP(A135,Sheet1!A:A,Sheet1!W:W,0,FALSE)</f>
        <v>3501.2000000000007</v>
      </c>
      <c r="X135" s="101">
        <f>_xlfn.XLOOKUP(A135,Sheet1!A:A,Sheet1!X:X,0,FALSE)</f>
        <v>9212.4399999999987</v>
      </c>
      <c r="Y135" s="101">
        <f>_xlfn.XLOOKUP(A135,Sheet1!A:A,Sheet1!Y:Y,0,FALSE)</f>
        <v>4560.25</v>
      </c>
      <c r="Z135" s="101">
        <f t="shared" si="5"/>
        <v>13772.689999999999</v>
      </c>
      <c r="AA135" s="101"/>
      <c r="AB135" s="581">
        <f>_xlfn.XLOOKUP(A135,'Carry Forward 2022'!A:A,'Carry Forward 2022'!B:B,0,FALSE)</f>
        <v>1802</v>
      </c>
      <c r="AC135" s="100">
        <f>_xlfn.XLOOKUP(AB135,'Blade-Export_15-08-2022_cfrdata'!D:D,'Blade-Export_15-08-2022_cfrdata'!BV:BV,0,FALSE)</f>
        <v>9212.44</v>
      </c>
      <c r="AD135" s="101">
        <f t="shared" si="6"/>
        <v>0</v>
      </c>
    </row>
    <row r="136" spans="1:30" x14ac:dyDescent="0.3">
      <c r="A136" s="101" t="s">
        <v>118</v>
      </c>
      <c r="B136" s="101" t="s">
        <v>943</v>
      </c>
      <c r="C136" s="101">
        <v>20833.129999999997</v>
      </c>
      <c r="D136" s="101">
        <v>4760.5</v>
      </c>
      <c r="E136" s="101">
        <v>25593.629999999997</v>
      </c>
      <c r="F136" s="101">
        <v>22201.39</v>
      </c>
      <c r="G136" s="101">
        <v>3392.239999999998</v>
      </c>
      <c r="H136" s="101">
        <v>4762.75</v>
      </c>
      <c r="I136" s="100">
        <v>5176.38</v>
      </c>
      <c r="J136" s="101">
        <v>13331.369999999999</v>
      </c>
      <c r="K136" s="100">
        <v>2245</v>
      </c>
      <c r="L136" s="101">
        <v>11086.369999999999</v>
      </c>
      <c r="M136" s="101">
        <v>5026</v>
      </c>
      <c r="N136" s="101">
        <v>16112.369999999999</v>
      </c>
      <c r="O136" s="101">
        <v>0</v>
      </c>
      <c r="P136" s="101">
        <v>16112.369999999999</v>
      </c>
      <c r="Q136" s="101" t="e">
        <v>#REF!</v>
      </c>
      <c r="R136" s="101">
        <v>21064.12</v>
      </c>
      <c r="S136" s="101">
        <v>7588</v>
      </c>
      <c r="T136" s="101">
        <v>13476.119999999999</v>
      </c>
      <c r="U136" s="101">
        <v>4776.25</v>
      </c>
      <c r="V136" s="101">
        <v>18252.37</v>
      </c>
      <c r="W136" s="101">
        <f>_xlfn.XLOOKUP(A136,Sheet1!A:A,Sheet1!W:W,0,FALSE)</f>
        <v>3950.92</v>
      </c>
      <c r="X136" s="101">
        <f>_xlfn.XLOOKUP(A136,Sheet1!A:A,Sheet1!X:X,0,FALSE)</f>
        <v>14301.449999999999</v>
      </c>
      <c r="Y136" s="101">
        <f>_xlfn.XLOOKUP(A136,Sheet1!A:A,Sheet1!Y:Y,0,FALSE)</f>
        <v>4567</v>
      </c>
      <c r="Z136" s="101">
        <f t="shared" si="5"/>
        <v>18868.449999999997</v>
      </c>
      <c r="AA136" s="101"/>
      <c r="AB136" s="581">
        <f>_xlfn.XLOOKUP(A136,'Carry Forward 2022'!A:A,'Carry Forward 2022'!B:B,0,FALSE)</f>
        <v>1026</v>
      </c>
      <c r="AC136" s="100">
        <f>_xlfn.XLOOKUP(AB136,'Blade-Export_15-08-2022_cfrdata'!D:D,'Blade-Export_15-08-2022_cfrdata'!BV:BV,0,FALSE)</f>
        <v>14301.45</v>
      </c>
      <c r="AD136" s="101">
        <f t="shared" si="6"/>
        <v>0</v>
      </c>
    </row>
    <row r="137" spans="1:30" x14ac:dyDescent="0.3">
      <c r="A137" s="101" t="s">
        <v>120</v>
      </c>
      <c r="B137" s="101" t="s">
        <v>942</v>
      </c>
      <c r="C137" s="101">
        <v>10206.959999999999</v>
      </c>
      <c r="D137" s="101">
        <v>4657</v>
      </c>
      <c r="E137" s="101">
        <v>14863.96</v>
      </c>
      <c r="F137" s="101">
        <v>3571.14</v>
      </c>
      <c r="G137" s="101">
        <v>11292.82</v>
      </c>
      <c r="H137" s="101">
        <v>4627.75</v>
      </c>
      <c r="I137" s="100">
        <v>4791.18</v>
      </c>
      <c r="J137" s="101">
        <v>20711.75</v>
      </c>
      <c r="K137" s="100">
        <v>5298.29</v>
      </c>
      <c r="L137" s="101">
        <v>15413.46</v>
      </c>
      <c r="M137" s="101">
        <v>4738</v>
      </c>
      <c r="N137" s="101">
        <v>20151.46</v>
      </c>
      <c r="O137" s="101">
        <v>10790</v>
      </c>
      <c r="P137" s="101">
        <v>9361.4599999999991</v>
      </c>
      <c r="Q137" s="101" t="e">
        <v>#REF!</v>
      </c>
      <c r="R137" s="101">
        <v>14099.46</v>
      </c>
      <c r="S137" s="101">
        <v>1600</v>
      </c>
      <c r="T137" s="101">
        <v>12499.46</v>
      </c>
      <c r="U137" s="101">
        <v>4735.75</v>
      </c>
      <c r="V137" s="101">
        <v>17235.21</v>
      </c>
      <c r="W137" s="101">
        <f>_xlfn.XLOOKUP(A137,Sheet1!A:A,Sheet1!W:W,0,FALSE)</f>
        <v>7443.16</v>
      </c>
      <c r="X137" s="101">
        <f>_xlfn.XLOOKUP(A137,Sheet1!A:A,Sheet1!X:X,0,FALSE)</f>
        <v>9792.0499999999993</v>
      </c>
      <c r="Y137" s="101">
        <f>_xlfn.XLOOKUP(A137,Sheet1!A:A,Sheet1!Y:Y,0,FALSE)</f>
        <v>4735.75</v>
      </c>
      <c r="Z137" s="101">
        <f t="shared" si="5"/>
        <v>14527.8</v>
      </c>
      <c r="AA137" s="101"/>
      <c r="AB137" s="581">
        <f>_xlfn.XLOOKUP(A137,'Carry Forward 2022'!A:A,'Carry Forward 2022'!B:B,0,FALSE)</f>
        <v>1006</v>
      </c>
      <c r="AC137" s="100">
        <f>_xlfn.XLOOKUP(AB137,'Blade-Export_15-08-2022_cfrdata'!D:D,'Blade-Export_15-08-2022_cfrdata'!BV:BV,0,FALSE)</f>
        <v>9792.0499999999993</v>
      </c>
      <c r="AD137" s="101">
        <f t="shared" si="6"/>
        <v>0</v>
      </c>
    </row>
    <row r="138" spans="1:30" x14ac:dyDescent="0.3">
      <c r="A138" s="127" t="s">
        <v>122</v>
      </c>
      <c r="B138" s="127" t="s">
        <v>941</v>
      </c>
      <c r="C138" s="101">
        <v>9766.84</v>
      </c>
      <c r="D138" s="101">
        <v>4679.5</v>
      </c>
      <c r="E138" s="101">
        <v>14446.34</v>
      </c>
      <c r="F138" s="101">
        <v>9825.07</v>
      </c>
      <c r="G138" s="101">
        <v>4621.2700000000004</v>
      </c>
      <c r="H138" s="101">
        <v>4645.75</v>
      </c>
      <c r="I138" s="100">
        <v>4842.54</v>
      </c>
      <c r="J138" s="101">
        <v>14109.560000000001</v>
      </c>
      <c r="K138" s="100">
        <v>8768.25</v>
      </c>
      <c r="L138" s="101">
        <v>5341.3100000000013</v>
      </c>
      <c r="M138" s="101">
        <v>4817.29</v>
      </c>
      <c r="N138" s="101">
        <v>10158.600000000002</v>
      </c>
      <c r="O138" s="101">
        <v>7727</v>
      </c>
      <c r="P138" s="101">
        <v>2431.6000000000022</v>
      </c>
      <c r="Q138" s="101" t="e">
        <v>#REF!</v>
      </c>
      <c r="R138" s="101">
        <v>7255.1000000000022</v>
      </c>
      <c r="S138" s="101">
        <v>4693</v>
      </c>
      <c r="T138" s="101">
        <v>2562.1000000000022</v>
      </c>
      <c r="U138" s="101">
        <v>4878.3999999999996</v>
      </c>
      <c r="V138" s="101">
        <v>7440.5000000000018</v>
      </c>
      <c r="W138" s="101">
        <f>_xlfn.XLOOKUP(A138,Sheet1!A:A,Sheet1!W:W,0,FALSE)</f>
        <v>1540</v>
      </c>
      <c r="X138" s="101">
        <f>_xlfn.XLOOKUP(A138,Sheet1!A:A,Sheet1!X:X,0,FALSE)</f>
        <v>5900.5000000000018</v>
      </c>
      <c r="Y138" s="101">
        <f>_xlfn.XLOOKUP(A138,Sheet1!A:A,Sheet1!Y:Y,0,FALSE)</f>
        <v>4837</v>
      </c>
      <c r="Z138" s="101">
        <f t="shared" si="5"/>
        <v>10737.500000000002</v>
      </c>
      <c r="AA138" s="101"/>
      <c r="AB138" s="581">
        <f>_xlfn.XLOOKUP(A138,'Carry Forward 2022'!A:A,'Carry Forward 2022'!B:B,0,FALSE)</f>
        <v>1015</v>
      </c>
      <c r="AC138" s="100">
        <f>_xlfn.XLOOKUP(AB138,'Blade-Export_15-08-2022_cfrdata'!D:D,'Blade-Export_15-08-2022_cfrdata'!BV:BV,0,FALSE)</f>
        <v>5900.5</v>
      </c>
      <c r="AD138" s="101">
        <f t="shared" si="6"/>
        <v>0</v>
      </c>
    </row>
    <row r="139" spans="1:30" x14ac:dyDescent="0.3">
      <c r="A139" s="101" t="s">
        <v>124</v>
      </c>
      <c r="B139" s="127" t="s">
        <v>940</v>
      </c>
      <c r="C139" s="101">
        <v>6142.0500000000011</v>
      </c>
      <c r="D139" s="101">
        <v>4418.5</v>
      </c>
      <c r="E139" s="101">
        <v>10560.550000000001</v>
      </c>
      <c r="F139" s="101">
        <v>3277.31</v>
      </c>
      <c r="G139" s="101">
        <v>7283.2400000000016</v>
      </c>
      <c r="H139" s="101">
        <v>4405</v>
      </c>
      <c r="I139" s="100">
        <v>4405</v>
      </c>
      <c r="J139" s="101">
        <v>16093.240000000002</v>
      </c>
      <c r="K139" s="100">
        <v>1701</v>
      </c>
      <c r="L139" s="101">
        <v>14392.240000000002</v>
      </c>
      <c r="M139" s="101">
        <v>4452.25</v>
      </c>
      <c r="N139" s="101">
        <v>18844.490000000002</v>
      </c>
      <c r="O139" s="101">
        <v>4517</v>
      </c>
      <c r="P139" s="101">
        <v>14327.490000000002</v>
      </c>
      <c r="Q139" s="101" t="e">
        <v>#REF!</v>
      </c>
      <c r="R139" s="101">
        <v>19015.990000000002</v>
      </c>
      <c r="S139" s="101">
        <v>5613.65</v>
      </c>
      <c r="T139" s="101">
        <v>13402.340000000002</v>
      </c>
      <c r="U139" s="101">
        <v>4762.75</v>
      </c>
      <c r="V139" s="101">
        <v>18165.090000000004</v>
      </c>
      <c r="W139" s="101">
        <f>_xlfn.XLOOKUP(A139,Sheet1!A:A,Sheet1!W:W,0,FALSE)</f>
        <v>0</v>
      </c>
      <c r="X139" s="101">
        <f>_xlfn.XLOOKUP(A139,Sheet1!A:A,Sheet1!X:X,0,FALSE)</f>
        <v>18165.090000000004</v>
      </c>
      <c r="Y139" s="101">
        <f>_xlfn.XLOOKUP(A139,Sheet1!A:A,Sheet1!Y:Y,0,FALSE)</f>
        <v>4675</v>
      </c>
      <c r="Z139" s="101">
        <f t="shared" si="5"/>
        <v>22840.090000000004</v>
      </c>
      <c r="AA139" s="101"/>
      <c r="AB139" s="581">
        <f>_xlfn.XLOOKUP(A139,'Carry Forward 2022'!A:A,'Carry Forward 2022'!B:B,0,FALSE)</f>
        <v>1022</v>
      </c>
      <c r="AC139" s="100">
        <f>_xlfn.XLOOKUP(AB139,'Blade-Export_15-08-2022_cfrdata'!D:D,'Blade-Export_15-08-2022_cfrdata'!BV:BV,0,FALSE)</f>
        <v>18165.09</v>
      </c>
      <c r="AD139" s="101">
        <f t="shared" si="6"/>
        <v>0</v>
      </c>
    </row>
    <row r="140" spans="1:30" x14ac:dyDescent="0.3">
      <c r="A140" s="101" t="s">
        <v>126</v>
      </c>
      <c r="B140" s="101" t="s">
        <v>939</v>
      </c>
      <c r="C140" s="101">
        <v>5067.4699999999993</v>
      </c>
      <c r="D140" s="101">
        <v>5080</v>
      </c>
      <c r="E140" s="101">
        <v>10147.469999999999</v>
      </c>
      <c r="F140" s="101">
        <v>6518.99</v>
      </c>
      <c r="G140" s="101">
        <v>3628.4799999999996</v>
      </c>
      <c r="H140" s="101">
        <v>5174.5</v>
      </c>
      <c r="I140" s="100">
        <v>6351.24</v>
      </c>
      <c r="J140" s="101">
        <v>15154.22</v>
      </c>
      <c r="L140" s="101">
        <v>15154.22</v>
      </c>
      <c r="M140" s="101">
        <v>5107</v>
      </c>
      <c r="N140" s="101">
        <v>20261.22</v>
      </c>
      <c r="O140" s="101">
        <v>4968.25</v>
      </c>
      <c r="P140" s="101">
        <v>15292.970000000001</v>
      </c>
      <c r="Q140" s="101" t="e">
        <v>#REF!</v>
      </c>
      <c r="R140" s="101">
        <v>20561.97</v>
      </c>
      <c r="S140" s="101">
        <v>0</v>
      </c>
      <c r="T140" s="101">
        <v>20561.97</v>
      </c>
      <c r="U140" s="101">
        <v>5262.25</v>
      </c>
      <c r="V140" s="101">
        <v>25824.22</v>
      </c>
      <c r="W140" s="101">
        <f>_xlfn.XLOOKUP(A140,Sheet1!A:A,Sheet1!W:W,0,FALSE)</f>
        <v>2132.4</v>
      </c>
      <c r="X140" s="101">
        <f>_xlfn.XLOOKUP(A140,Sheet1!A:A,Sheet1!X:X,0,FALSE)</f>
        <v>23691.82</v>
      </c>
      <c r="Y140" s="101">
        <f>_xlfn.XLOOKUP(A140,Sheet1!A:A,Sheet1!Y:Y,0,FALSE)</f>
        <v>5120.5</v>
      </c>
      <c r="Z140" s="101">
        <f t="shared" si="5"/>
        <v>28812.32</v>
      </c>
      <c r="AA140" s="101"/>
      <c r="AB140" s="581">
        <f>_xlfn.XLOOKUP(A140,'Carry Forward 2022'!A:A,'Carry Forward 2022'!B:B,0,FALSE)</f>
        <v>1010</v>
      </c>
      <c r="AC140" s="100">
        <f>_xlfn.XLOOKUP(AB140,'Blade-Export_15-08-2022_cfrdata'!D:D,'Blade-Export_15-08-2022_cfrdata'!BV:BV,0,FALSE)</f>
        <v>23691.82</v>
      </c>
      <c r="AD140" s="101">
        <f t="shared" si="6"/>
        <v>0</v>
      </c>
    </row>
    <row r="141" spans="1:30" x14ac:dyDescent="0.3">
      <c r="A141" s="101" t="s">
        <v>128</v>
      </c>
      <c r="B141" s="101" t="s">
        <v>938</v>
      </c>
      <c r="C141" s="101">
        <v>0</v>
      </c>
      <c r="D141" s="101">
        <v>4492.75</v>
      </c>
      <c r="E141" s="101">
        <v>4492.75</v>
      </c>
      <c r="F141" s="101">
        <v>135.9</v>
      </c>
      <c r="G141" s="101">
        <v>4356.8500000000004</v>
      </c>
      <c r="H141" s="101">
        <v>4544.5</v>
      </c>
      <c r="I141" s="100">
        <v>4553.6400000000003</v>
      </c>
      <c r="J141" s="101">
        <v>13454.990000000002</v>
      </c>
      <c r="K141" s="100">
        <v>7382.4</v>
      </c>
      <c r="L141" s="101">
        <v>6072.590000000002</v>
      </c>
      <c r="M141" s="101">
        <v>4432</v>
      </c>
      <c r="N141" s="101">
        <v>10504.590000000002</v>
      </c>
      <c r="O141" s="101">
        <v>4359.2299999999996</v>
      </c>
      <c r="P141" s="101">
        <v>6145.3600000000024</v>
      </c>
      <c r="Q141" s="101" t="e">
        <v>#REF!</v>
      </c>
      <c r="R141" s="101">
        <v>10617.860000000002</v>
      </c>
      <c r="S141" s="101">
        <v>9714.7999999999993</v>
      </c>
      <c r="T141" s="101">
        <v>903.06000000000313</v>
      </c>
      <c r="U141" s="101">
        <v>4526.5</v>
      </c>
      <c r="V141" s="101">
        <v>5429.5600000000031</v>
      </c>
      <c r="W141" s="101">
        <f>_xlfn.XLOOKUP(A141,Sheet1!A:A,Sheet1!W:W,0,FALSE)</f>
        <v>0</v>
      </c>
      <c r="X141" s="101">
        <f>_xlfn.XLOOKUP(A141,Sheet1!A:A,Sheet1!X:X,0,FALSE)</f>
        <v>5429.5600000000031</v>
      </c>
      <c r="Y141" s="101">
        <f>_xlfn.XLOOKUP(A141,Sheet1!A:A,Sheet1!Y:Y,0,FALSE)</f>
        <v>4324</v>
      </c>
      <c r="Z141" s="101">
        <f t="shared" si="5"/>
        <v>9753.5600000000031</v>
      </c>
      <c r="AA141" s="101"/>
      <c r="AB141" s="581">
        <f>_xlfn.XLOOKUP(A141,'Carry Forward 2022'!A:A,'Carry Forward 2022'!B:B,0,FALSE)</f>
        <v>1021</v>
      </c>
      <c r="AC141" s="100">
        <f>_xlfn.XLOOKUP(AB141,'Blade-Export_15-08-2022_cfrdata'!D:D,'Blade-Export_15-08-2022_cfrdata'!BV:BV,0,FALSE)</f>
        <v>5429.56</v>
      </c>
      <c r="AD141" s="101">
        <f t="shared" si="6"/>
        <v>0</v>
      </c>
    </row>
    <row r="142" spans="1:30" x14ac:dyDescent="0.3">
      <c r="A142" s="101" t="s">
        <v>130</v>
      </c>
      <c r="B142" s="101" t="s">
        <v>937</v>
      </c>
      <c r="C142" s="101">
        <v>5761</v>
      </c>
      <c r="D142" s="101">
        <v>4533.25</v>
      </c>
      <c r="E142" s="101">
        <v>10294.25</v>
      </c>
      <c r="F142" s="101">
        <v>10095</v>
      </c>
      <c r="G142" s="101">
        <v>199.25</v>
      </c>
      <c r="H142" s="101">
        <v>4805.95</v>
      </c>
      <c r="I142" s="100">
        <v>5299.64</v>
      </c>
      <c r="J142" s="101">
        <v>10304.84</v>
      </c>
      <c r="K142" s="100">
        <v>2333.33</v>
      </c>
      <c r="L142" s="101">
        <v>7971.51</v>
      </c>
      <c r="M142" s="101">
        <v>4769.5</v>
      </c>
      <c r="N142" s="101">
        <v>12741.01</v>
      </c>
      <c r="O142" s="101">
        <v>6582.09</v>
      </c>
      <c r="P142" s="101">
        <v>6158.92</v>
      </c>
      <c r="Q142" s="101" t="e">
        <v>#REF!</v>
      </c>
      <c r="R142" s="101">
        <v>10837.970000000001</v>
      </c>
      <c r="S142" s="101">
        <v>7106</v>
      </c>
      <c r="T142" s="101">
        <v>3731.9700000000012</v>
      </c>
      <c r="U142" s="101">
        <v>4783</v>
      </c>
      <c r="V142" s="101">
        <v>8514.9700000000012</v>
      </c>
      <c r="W142" s="101">
        <f>_xlfn.XLOOKUP(A142,Sheet1!A:A,Sheet1!W:W,0,FALSE)</f>
        <v>2689.45</v>
      </c>
      <c r="X142" s="101">
        <f>_xlfn.XLOOKUP(A142,Sheet1!A:A,Sheet1!X:X,0,FALSE)</f>
        <v>5825.5200000000013</v>
      </c>
      <c r="Y142" s="101">
        <f>_xlfn.XLOOKUP(A142,Sheet1!A:A,Sheet1!Y:Y,0,FALSE)</f>
        <v>4550.6899999999996</v>
      </c>
      <c r="Z142" s="101">
        <f t="shared" si="5"/>
        <v>10376.210000000001</v>
      </c>
      <c r="AA142" s="101"/>
      <c r="AB142" s="581">
        <f>_xlfn.XLOOKUP(A142,'Carry Forward 2022'!A:A,'Carry Forward 2022'!B:B,0,FALSE)</f>
        <v>1023</v>
      </c>
      <c r="AC142" s="100">
        <f>_xlfn.XLOOKUP(AB142,'Blade-Export_15-08-2022_cfrdata'!D:D,'Blade-Export_15-08-2022_cfrdata'!BV:BV,0,FALSE)</f>
        <v>5825.52</v>
      </c>
      <c r="AD142" s="101">
        <f t="shared" si="6"/>
        <v>0</v>
      </c>
    </row>
    <row r="143" spans="1:30" x14ac:dyDescent="0.3">
      <c r="A143" s="101" t="s">
        <v>132</v>
      </c>
      <c r="B143" s="101" t="s">
        <v>936</v>
      </c>
      <c r="C143" s="101">
        <v>3752.72</v>
      </c>
      <c r="D143" s="101">
        <v>4695.25</v>
      </c>
      <c r="E143" s="101">
        <v>8447.9699999999993</v>
      </c>
      <c r="F143" s="101">
        <v>7776.63</v>
      </c>
      <c r="G143" s="101">
        <v>671.33999999999924</v>
      </c>
      <c r="H143" s="101">
        <v>4675</v>
      </c>
      <c r="I143" s="100">
        <v>4926</v>
      </c>
      <c r="J143" s="101">
        <v>10272.34</v>
      </c>
      <c r="K143" s="100">
        <v>4557</v>
      </c>
      <c r="L143" s="101">
        <v>5715.34</v>
      </c>
      <c r="M143" s="101">
        <v>4814.95</v>
      </c>
      <c r="N143" s="101">
        <v>10530.29</v>
      </c>
      <c r="O143" s="101">
        <v>4859.99</v>
      </c>
      <c r="P143" s="101">
        <v>5670.3000000000011</v>
      </c>
      <c r="Q143" s="101" t="e">
        <v>#REF!</v>
      </c>
      <c r="R143" s="101">
        <v>10479.850000000002</v>
      </c>
      <c r="S143" s="101">
        <v>10479.85</v>
      </c>
      <c r="T143" s="101">
        <v>0</v>
      </c>
      <c r="U143" s="101">
        <v>4856.8</v>
      </c>
      <c r="V143" s="101">
        <v>4856.8</v>
      </c>
      <c r="W143" s="101">
        <f>_xlfn.XLOOKUP(A143,Sheet1!A:A,Sheet1!W:W,0,FALSE)</f>
        <v>2385.2399999999998</v>
      </c>
      <c r="X143" s="101">
        <f>_xlfn.XLOOKUP(A143,Sheet1!A:A,Sheet1!X:X,0,FALSE)</f>
        <v>2471.5600000000004</v>
      </c>
      <c r="Y143" s="101">
        <f>_xlfn.XLOOKUP(A143,Sheet1!A:A,Sheet1!Y:Y,0,FALSE)</f>
        <v>4809.32</v>
      </c>
      <c r="Z143" s="101">
        <f t="shared" si="5"/>
        <v>7280.88</v>
      </c>
      <c r="AA143" s="101"/>
      <c r="AB143" s="581">
        <f>_xlfn.XLOOKUP(A143,'Carry Forward 2022'!A:A,'Carry Forward 2022'!B:B,0,FALSE)</f>
        <v>1016</v>
      </c>
      <c r="AC143" s="100">
        <f>_xlfn.XLOOKUP(AB143,'Blade-Export_15-08-2022_cfrdata'!D:D,'Blade-Export_15-08-2022_cfrdata'!BV:BV,0,FALSE)</f>
        <v>2471.56</v>
      </c>
      <c r="AD143" s="101">
        <f t="shared" si="6"/>
        <v>0</v>
      </c>
    </row>
    <row r="144" spans="1:30" x14ac:dyDescent="0.3">
      <c r="A144" s="101" t="s">
        <v>134</v>
      </c>
      <c r="B144" s="101" t="s">
        <v>935</v>
      </c>
      <c r="C144" s="101">
        <v>5486.0000000000018</v>
      </c>
      <c r="D144" s="101">
        <v>4877.5</v>
      </c>
      <c r="E144" s="101">
        <v>10363.500000000002</v>
      </c>
      <c r="F144" s="101">
        <v>8454.56</v>
      </c>
      <c r="G144" s="101">
        <v>1908.9400000000023</v>
      </c>
      <c r="H144" s="101">
        <v>4796.5</v>
      </c>
      <c r="I144" s="100">
        <v>5272.68</v>
      </c>
      <c r="J144" s="101">
        <v>11978.120000000003</v>
      </c>
      <c r="K144" s="100">
        <v>0</v>
      </c>
      <c r="L144" s="101">
        <v>11978.120000000003</v>
      </c>
      <c r="M144" s="101">
        <v>4978.75</v>
      </c>
      <c r="N144" s="101">
        <v>16956.870000000003</v>
      </c>
      <c r="O144" s="101">
        <v>4100</v>
      </c>
      <c r="P144" s="101">
        <v>12856.870000000003</v>
      </c>
      <c r="Q144" s="101" t="e">
        <v>#REF!</v>
      </c>
      <c r="R144" s="101">
        <v>17945.870000000003</v>
      </c>
      <c r="S144" s="101">
        <v>2850</v>
      </c>
      <c r="T144" s="101">
        <v>15095.870000000003</v>
      </c>
      <c r="U144" s="101">
        <v>4884.25</v>
      </c>
      <c r="V144" s="101">
        <v>19980.120000000003</v>
      </c>
      <c r="W144" s="101">
        <f>_xlfn.XLOOKUP(A144,Sheet1!A:A,Sheet1!W:W,0,FALSE)</f>
        <v>1759</v>
      </c>
      <c r="X144" s="101">
        <f>_xlfn.XLOOKUP(A144,Sheet1!A:A,Sheet1!X:X,0,FALSE)</f>
        <v>18221.120000000003</v>
      </c>
      <c r="Y144" s="101">
        <f>_xlfn.XLOOKUP(A144,Sheet1!A:A,Sheet1!Y:Y,0,FALSE)</f>
        <v>4729</v>
      </c>
      <c r="Z144" s="101">
        <f t="shared" si="5"/>
        <v>22950.120000000003</v>
      </c>
      <c r="AA144" s="101"/>
      <c r="AB144" s="581">
        <f>_xlfn.XLOOKUP(A144,'Carry Forward 2022'!A:A,'Carry Forward 2022'!B:B,0,FALSE)</f>
        <v>1024</v>
      </c>
      <c r="AC144" s="100">
        <f>_xlfn.XLOOKUP(AB144,'Blade-Export_15-08-2022_cfrdata'!D:D,'Blade-Export_15-08-2022_cfrdata'!BV:BV,0,FALSE)</f>
        <v>18221.12</v>
      </c>
      <c r="AD144" s="101">
        <f t="shared" si="6"/>
        <v>0</v>
      </c>
    </row>
    <row r="145" spans="1:30" x14ac:dyDescent="0.3">
      <c r="A145" s="101" t="s">
        <v>136</v>
      </c>
      <c r="B145" s="101" t="s">
        <v>934</v>
      </c>
      <c r="C145" s="101">
        <v>2082.6100000000006</v>
      </c>
      <c r="D145" s="101">
        <v>4884.25</v>
      </c>
      <c r="E145" s="101">
        <v>6966.8600000000006</v>
      </c>
      <c r="F145" s="101">
        <v>2162</v>
      </c>
      <c r="G145" s="101">
        <v>4804.8600000000006</v>
      </c>
      <c r="H145" s="101">
        <v>4918</v>
      </c>
      <c r="I145" s="100">
        <v>5619.36</v>
      </c>
      <c r="J145" s="101">
        <v>15342.220000000001</v>
      </c>
      <c r="K145" s="100">
        <v>8582.2199999999993</v>
      </c>
      <c r="L145" s="101">
        <v>6760.0000000000018</v>
      </c>
      <c r="M145" s="101">
        <v>4843.75</v>
      </c>
      <c r="N145" s="101">
        <v>11603.750000000002</v>
      </c>
      <c r="O145" s="101">
        <v>0</v>
      </c>
      <c r="P145" s="101">
        <v>11603.750000000002</v>
      </c>
      <c r="Q145" s="101" t="e">
        <v>#REF!</v>
      </c>
      <c r="R145" s="101">
        <v>16521.75</v>
      </c>
      <c r="S145" s="101">
        <v>1257.8</v>
      </c>
      <c r="T145" s="101">
        <v>15263.95</v>
      </c>
      <c r="U145" s="101">
        <v>5059.75</v>
      </c>
      <c r="V145" s="101">
        <v>20323.7</v>
      </c>
      <c r="W145" s="101">
        <f>_xlfn.XLOOKUP(A145,Sheet1!A:A,Sheet1!W:W,0,FALSE)</f>
        <v>5.1159076974727213E-13</v>
      </c>
      <c r="X145" s="101">
        <f>_xlfn.XLOOKUP(A145,Sheet1!A:A,Sheet1!X:X,0,FALSE)</f>
        <v>20323.7</v>
      </c>
      <c r="Y145" s="101">
        <f>_xlfn.XLOOKUP(A145,Sheet1!A:A,Sheet1!Y:Y,0,FALSE)</f>
        <v>4830.25</v>
      </c>
      <c r="Z145" s="101">
        <f t="shared" si="5"/>
        <v>25153.95</v>
      </c>
      <c r="AA145" s="101"/>
      <c r="AB145" s="581">
        <f>_xlfn.XLOOKUP(A145,'Carry Forward 2022'!A:A,'Carry Forward 2022'!B:B,0,FALSE)</f>
        <v>1012</v>
      </c>
      <c r="AC145" s="100">
        <f>_xlfn.XLOOKUP(AB145,'Blade-Export_15-08-2022_cfrdata'!D:D,'Blade-Export_15-08-2022_cfrdata'!BV:BV,0,FALSE)</f>
        <v>20323.7</v>
      </c>
      <c r="AD145" s="101">
        <f t="shared" si="6"/>
        <v>0</v>
      </c>
    </row>
    <row r="146" spans="1:30" x14ac:dyDescent="0.3">
      <c r="A146" s="101" t="s">
        <v>138</v>
      </c>
      <c r="B146" s="101" t="s">
        <v>933</v>
      </c>
      <c r="C146" s="101">
        <v>2950.64</v>
      </c>
      <c r="D146" s="101">
        <v>4418.5</v>
      </c>
      <c r="E146" s="101">
        <v>7369.1399999999994</v>
      </c>
      <c r="F146" s="101">
        <v>2951</v>
      </c>
      <c r="G146" s="101">
        <v>4418.1399999999994</v>
      </c>
      <c r="H146" s="101">
        <v>4641.25</v>
      </c>
      <c r="I146" s="100">
        <v>4829.7</v>
      </c>
      <c r="J146" s="101">
        <v>13889.09</v>
      </c>
      <c r="K146" s="100">
        <v>0</v>
      </c>
      <c r="L146" s="101">
        <v>13889.09</v>
      </c>
      <c r="M146" s="101">
        <v>4745.88</v>
      </c>
      <c r="N146" s="101">
        <v>18634.97</v>
      </c>
      <c r="O146" s="101">
        <v>4568</v>
      </c>
      <c r="P146" s="101">
        <v>14066.970000000001</v>
      </c>
      <c r="Q146" s="101" t="e">
        <v>#REF!</v>
      </c>
      <c r="R146" s="101">
        <v>18957.29</v>
      </c>
      <c r="S146" s="101">
        <v>4968</v>
      </c>
      <c r="T146" s="101">
        <v>13989.29</v>
      </c>
      <c r="U146" s="101">
        <v>4859.95</v>
      </c>
      <c r="V146" s="101">
        <v>18849.240000000002</v>
      </c>
      <c r="W146" s="101">
        <f>_xlfn.XLOOKUP(A146,Sheet1!A:A,Sheet1!W:W,0,FALSE)</f>
        <v>0</v>
      </c>
      <c r="X146" s="101">
        <f>_xlfn.XLOOKUP(A146,Sheet1!A:A,Sheet1!X:X,0,FALSE)</f>
        <v>18849.240000000002</v>
      </c>
      <c r="Y146" s="101">
        <f>_xlfn.XLOOKUP(A146,Sheet1!A:A,Sheet1!Y:Y,0,FALSE)</f>
        <v>4674.32</v>
      </c>
      <c r="Z146" s="101">
        <f t="shared" si="5"/>
        <v>23523.56</v>
      </c>
      <c r="AA146" s="101"/>
      <c r="AB146" s="581">
        <f>_xlfn.XLOOKUP(A146,'Carry Forward 2022'!A:A,'Carry Forward 2022'!B:B,0,FALSE)</f>
        <v>1028</v>
      </c>
      <c r="AC146" s="100">
        <f>_xlfn.XLOOKUP(AB146,'Blade-Export_15-08-2022_cfrdata'!D:D,'Blade-Export_15-08-2022_cfrdata'!BV:BV,0,FALSE)</f>
        <v>18849.240000000002</v>
      </c>
      <c r="AD146" s="101">
        <f t="shared" si="6"/>
        <v>0</v>
      </c>
    </row>
    <row r="147" spans="1:30" x14ac:dyDescent="0.3">
      <c r="A147" s="101" t="s">
        <v>140</v>
      </c>
      <c r="B147" s="101" t="s">
        <v>932</v>
      </c>
      <c r="C147" s="101">
        <v>18288.099999999999</v>
      </c>
      <c r="D147" s="101">
        <v>4616.5</v>
      </c>
      <c r="E147" s="101">
        <v>22904.6</v>
      </c>
      <c r="F147" s="101">
        <v>1689</v>
      </c>
      <c r="G147" s="101">
        <v>21215.599999999999</v>
      </c>
      <c r="H147" s="101">
        <v>4722.25</v>
      </c>
      <c r="I147" s="100">
        <v>5060.82</v>
      </c>
      <c r="J147" s="101">
        <v>30998.67</v>
      </c>
      <c r="K147" s="100">
        <v>18022.55</v>
      </c>
      <c r="L147" s="101">
        <v>12976.119999999999</v>
      </c>
      <c r="M147" s="101">
        <v>4817.88</v>
      </c>
      <c r="N147" s="101">
        <v>17794</v>
      </c>
      <c r="O147" s="101">
        <v>1174.1199999999999</v>
      </c>
      <c r="P147" s="101">
        <v>16619.88</v>
      </c>
      <c r="Q147" s="101" t="e">
        <v>#REF!</v>
      </c>
      <c r="R147" s="101">
        <v>21487.260000000002</v>
      </c>
      <c r="S147" s="101">
        <v>9700</v>
      </c>
      <c r="T147" s="101">
        <v>11787.260000000002</v>
      </c>
      <c r="U147" s="101">
        <v>4899.1000000000004</v>
      </c>
      <c r="V147" s="101">
        <v>16686.36</v>
      </c>
      <c r="W147" s="101">
        <f>_xlfn.XLOOKUP(A147,Sheet1!A:A,Sheet1!W:W,0,FALSE)</f>
        <v>0</v>
      </c>
      <c r="X147" s="101">
        <f>_xlfn.XLOOKUP(A147,Sheet1!A:A,Sheet1!X:X,0,FALSE)</f>
        <v>16686.36</v>
      </c>
      <c r="Y147" s="101">
        <f>_xlfn.XLOOKUP(A147,Sheet1!A:A,Sheet1!Y:Y,0,FALSE)</f>
        <v>4722.25</v>
      </c>
      <c r="Z147" s="101">
        <f t="shared" si="5"/>
        <v>21408.61</v>
      </c>
      <c r="AA147" s="101"/>
      <c r="AB147" s="581">
        <f>_xlfn.XLOOKUP(A147,'Carry Forward 2022'!A:A,'Carry Forward 2022'!B:B,0,FALSE)</f>
        <v>1049</v>
      </c>
      <c r="AC147" s="100">
        <f>_xlfn.XLOOKUP(AB147,'Blade-Export_15-08-2022_cfrdata'!D:D,'Blade-Export_15-08-2022_cfrdata'!BV:BV,0,FALSE)</f>
        <v>16686.36</v>
      </c>
      <c r="AD147" s="101">
        <f t="shared" si="6"/>
        <v>0</v>
      </c>
    </row>
    <row r="148" spans="1:30" x14ac:dyDescent="0.3">
      <c r="A148" s="101" t="s">
        <v>142</v>
      </c>
      <c r="B148" s="101" t="s">
        <v>931</v>
      </c>
      <c r="C148" s="101">
        <v>624.77000000000044</v>
      </c>
      <c r="D148" s="101">
        <v>4634.5</v>
      </c>
      <c r="E148" s="101">
        <v>5259.27</v>
      </c>
      <c r="F148" s="101"/>
      <c r="G148" s="101">
        <v>5259.27</v>
      </c>
      <c r="H148" s="101">
        <v>4668.25</v>
      </c>
      <c r="I148" s="100">
        <v>4906.74</v>
      </c>
      <c r="J148" s="101">
        <v>14834.26</v>
      </c>
      <c r="K148" s="100">
        <v>1425.7199999999998</v>
      </c>
      <c r="L148" s="101">
        <v>13408.54</v>
      </c>
      <c r="M148" s="101">
        <v>4695.25</v>
      </c>
      <c r="N148" s="101">
        <v>18103.79</v>
      </c>
      <c r="O148" s="101">
        <v>11860.25</v>
      </c>
      <c r="P148" s="101">
        <v>6243.5400000000009</v>
      </c>
      <c r="Q148" s="101" t="e">
        <v>#REF!</v>
      </c>
      <c r="R148" s="101">
        <v>10938.79</v>
      </c>
      <c r="S148" s="101">
        <v>8699.58</v>
      </c>
      <c r="T148" s="101">
        <v>2239.2100000000009</v>
      </c>
      <c r="U148" s="101">
        <v>4702</v>
      </c>
      <c r="V148" s="101">
        <v>6941.2100000000009</v>
      </c>
      <c r="W148" s="101">
        <f>_xlfn.XLOOKUP(A148,Sheet1!A:A,Sheet1!W:W,0,FALSE)</f>
        <v>0</v>
      </c>
      <c r="X148" s="101">
        <f>_xlfn.XLOOKUP(A148,Sheet1!A:A,Sheet1!X:X,0,FALSE)</f>
        <v>6941.2100000000009</v>
      </c>
      <c r="Y148" s="101">
        <f>_xlfn.XLOOKUP(A148,Sheet1!A:A,Sheet1!Y:Y,0,FALSE)</f>
        <v>4715.5</v>
      </c>
      <c r="Z148" s="101">
        <f t="shared" si="5"/>
        <v>11656.710000000001</v>
      </c>
      <c r="AA148" s="101"/>
      <c r="AB148" s="581">
        <f>_xlfn.XLOOKUP(A148,'Carry Forward 2022'!A:A,'Carry Forward 2022'!B:B,0,FALSE)</f>
        <v>1008</v>
      </c>
      <c r="AC148" s="100">
        <f>_xlfn.XLOOKUP(AB148,'Blade-Export_15-08-2022_cfrdata'!D:D,'Blade-Export_15-08-2022_cfrdata'!BV:BV,0,FALSE)</f>
        <v>6941.21</v>
      </c>
      <c r="AD148" s="101">
        <f t="shared" si="6"/>
        <v>0</v>
      </c>
    </row>
    <row r="149" spans="1:30" x14ac:dyDescent="0.3">
      <c r="A149" s="101" t="s">
        <v>146</v>
      </c>
      <c r="B149" s="101" t="s">
        <v>930</v>
      </c>
      <c r="C149" s="101">
        <v>3552.5400000000009</v>
      </c>
      <c r="D149" s="101">
        <v>4873</v>
      </c>
      <c r="E149" s="101">
        <v>8425.5400000000009</v>
      </c>
      <c r="F149" s="101">
        <v>3632.48</v>
      </c>
      <c r="G149" s="101">
        <v>4793.0600000000013</v>
      </c>
      <c r="H149" s="101">
        <v>5019.25</v>
      </c>
      <c r="I149" s="100">
        <v>5908.26</v>
      </c>
      <c r="J149" s="101">
        <v>15720.570000000002</v>
      </c>
      <c r="K149" s="100">
        <v>3523</v>
      </c>
      <c r="L149" s="101">
        <v>12197.570000000002</v>
      </c>
      <c r="M149" s="101">
        <v>5262.25</v>
      </c>
      <c r="N149" s="101">
        <v>17459.82</v>
      </c>
      <c r="O149" s="101">
        <v>11045</v>
      </c>
      <c r="P149" s="101">
        <v>6414.82</v>
      </c>
      <c r="Q149" s="101" t="e">
        <v>#REF!</v>
      </c>
      <c r="R149" s="101">
        <v>11753.57</v>
      </c>
      <c r="S149" s="101">
        <v>11552.5</v>
      </c>
      <c r="T149" s="101">
        <v>201.06999999999971</v>
      </c>
      <c r="U149" s="101">
        <v>5377</v>
      </c>
      <c r="V149" s="101">
        <v>5578.07</v>
      </c>
      <c r="W149" s="101">
        <f>_xlfn.XLOOKUP(A149,Sheet1!A:A,Sheet1!W:W,0,FALSE)</f>
        <v>0</v>
      </c>
      <c r="X149" s="101">
        <f>_xlfn.XLOOKUP(A149,Sheet1!A:A,Sheet1!X:X,0,FALSE)</f>
        <v>5578.07</v>
      </c>
      <c r="Y149" s="101">
        <f>_xlfn.XLOOKUP(A149,Sheet1!A:A,Sheet1!Y:Y,0,FALSE)</f>
        <v>5134</v>
      </c>
      <c r="Z149" s="101">
        <f t="shared" si="5"/>
        <v>10712.07</v>
      </c>
      <c r="AA149" s="101"/>
      <c r="AB149" s="581">
        <f>_xlfn.XLOOKUP(A149,'Carry Forward 2022'!A:A,'Carry Forward 2022'!B:B,0,FALSE)</f>
        <v>1018</v>
      </c>
      <c r="AC149" s="100">
        <f>_xlfn.XLOOKUP(AB149,'Blade-Export_15-08-2022_cfrdata'!D:D,'Blade-Export_15-08-2022_cfrdata'!BV:BV,0,FALSE)</f>
        <v>5578.07</v>
      </c>
      <c r="AD149" s="101">
        <f t="shared" si="6"/>
        <v>0</v>
      </c>
    </row>
    <row r="150" spans="1:30" x14ac:dyDescent="0.3">
      <c r="A150" s="128" t="s">
        <v>148</v>
      </c>
      <c r="B150" s="101" t="s">
        <v>929</v>
      </c>
      <c r="C150" s="101">
        <v>3444.3000000000011</v>
      </c>
      <c r="D150" s="101">
        <v>4540</v>
      </c>
      <c r="E150" s="101">
        <v>7984.3000000000011</v>
      </c>
      <c r="F150" s="101">
        <v>7984.3</v>
      </c>
      <c r="G150" s="101">
        <v>0</v>
      </c>
      <c r="H150" s="101">
        <v>4576</v>
      </c>
      <c r="I150" s="100">
        <v>4643.5200000000004</v>
      </c>
      <c r="J150" s="101">
        <v>9219.52</v>
      </c>
      <c r="K150" s="100">
        <v>0</v>
      </c>
      <c r="L150" s="101">
        <v>9219.52</v>
      </c>
      <c r="M150" s="101">
        <v>4652.28</v>
      </c>
      <c r="N150" s="101">
        <v>13871.8</v>
      </c>
      <c r="O150" s="101">
        <v>11351</v>
      </c>
      <c r="P150" s="101">
        <v>2520.7999999999993</v>
      </c>
      <c r="Q150" s="101" t="e">
        <v>#REF!</v>
      </c>
      <c r="R150" s="101">
        <v>7257.7899999999991</v>
      </c>
      <c r="S150" s="101">
        <v>0</v>
      </c>
      <c r="T150" s="101">
        <v>7257.7899999999991</v>
      </c>
      <c r="U150" s="101">
        <v>4715.5</v>
      </c>
      <c r="V150" s="101">
        <v>11973.289999999999</v>
      </c>
      <c r="W150" s="101">
        <f>_xlfn.XLOOKUP(A150,Sheet1!A:A,Sheet1!W:W,0,FALSE)</f>
        <v>1692.51</v>
      </c>
      <c r="X150" s="101">
        <f>_xlfn.XLOOKUP(A150,Sheet1!A:A,Sheet1!X:X,0,FALSE)</f>
        <v>10280.779999999999</v>
      </c>
      <c r="Y150" s="101">
        <f>_xlfn.XLOOKUP(A150,Sheet1!A:A,Sheet1!Y:Y,0,FALSE)</f>
        <v>4714.83</v>
      </c>
      <c r="Z150" s="101">
        <f t="shared" si="5"/>
        <v>14995.609999999999</v>
      </c>
      <c r="AA150" s="101"/>
      <c r="AB150" s="581">
        <f>_xlfn.XLOOKUP(A150,'Carry Forward 2022'!A:A,'Carry Forward 2022'!B:B,0,FALSE)</f>
        <v>1000</v>
      </c>
      <c r="AC150" s="100">
        <f>_xlfn.XLOOKUP(AB150,'Blade-Export_15-08-2022_cfrdata'!D:D,'Blade-Export_15-08-2022_cfrdata'!BV:BV,0,FALSE)</f>
        <v>10280.780000000001</v>
      </c>
      <c r="AD150" s="101">
        <f t="shared" si="6"/>
        <v>0</v>
      </c>
    </row>
    <row r="151" spans="1:30" x14ac:dyDescent="0.3">
      <c r="A151" s="127" t="s">
        <v>150</v>
      </c>
      <c r="B151" s="127" t="s">
        <v>928</v>
      </c>
      <c r="C151" s="101">
        <v>2105.5400000000009</v>
      </c>
      <c r="D151" s="101">
        <v>4591.75</v>
      </c>
      <c r="E151" s="101">
        <v>6697.2900000000009</v>
      </c>
      <c r="F151" s="101">
        <v>596</v>
      </c>
      <c r="G151" s="101">
        <v>6101.2900000000009</v>
      </c>
      <c r="H151" s="101">
        <v>4576</v>
      </c>
      <c r="I151" s="100">
        <v>4643.5200000000004</v>
      </c>
      <c r="J151" s="101">
        <v>15320.810000000001</v>
      </c>
      <c r="K151" s="100">
        <v>4955</v>
      </c>
      <c r="L151" s="101">
        <v>10365.810000000001</v>
      </c>
      <c r="M151" s="101">
        <v>5174.5</v>
      </c>
      <c r="N151" s="101">
        <v>15540.310000000001</v>
      </c>
      <c r="O151" s="101">
        <v>0</v>
      </c>
      <c r="P151" s="101">
        <v>15540.310000000001</v>
      </c>
      <c r="Q151" s="101" t="e">
        <v>#REF!</v>
      </c>
      <c r="R151" s="101">
        <v>20721.560000000001</v>
      </c>
      <c r="S151" s="101">
        <v>0</v>
      </c>
      <c r="T151" s="101">
        <v>20721.560000000001</v>
      </c>
      <c r="U151" s="101">
        <v>5363.5</v>
      </c>
      <c r="V151" s="101">
        <v>26085.06</v>
      </c>
      <c r="W151" s="101">
        <f>_xlfn.XLOOKUP(A151,Sheet1!A:A,Sheet1!W:W,0,FALSE)</f>
        <v>0</v>
      </c>
      <c r="X151" s="101">
        <f>_xlfn.XLOOKUP(A151,Sheet1!A:A,Sheet1!X:X,0,FALSE)</f>
        <v>26085.06</v>
      </c>
      <c r="Y151" s="101">
        <f>_xlfn.XLOOKUP(A151,Sheet1!A:A,Sheet1!Y:Y,0,FALSE)</f>
        <v>5161</v>
      </c>
      <c r="Z151" s="101">
        <f t="shared" si="5"/>
        <v>31246.06</v>
      </c>
      <c r="AA151" s="101"/>
      <c r="AB151" s="581">
        <f>_xlfn.XLOOKUP(A151,'Carry Forward 2022'!A:A,'Carry Forward 2022'!B:B,0,FALSE)</f>
        <v>1038</v>
      </c>
      <c r="AC151" s="100">
        <f>_xlfn.XLOOKUP(AB151,'Blade-Export_15-08-2022_cfrdata'!D:D,'Blade-Export_15-08-2022_cfrdata'!BV:BV,0,FALSE)</f>
        <v>26085.06</v>
      </c>
      <c r="AD151" s="101">
        <f t="shared" si="6"/>
        <v>0</v>
      </c>
    </row>
    <row r="152" spans="1:30" x14ac:dyDescent="0.3">
      <c r="A152" s="101" t="s">
        <v>144</v>
      </c>
      <c r="B152" s="101" t="s">
        <v>927</v>
      </c>
      <c r="C152" s="101">
        <v>22318.42</v>
      </c>
      <c r="D152" s="101">
        <v>5059.75</v>
      </c>
      <c r="E152" s="101">
        <v>27378.17</v>
      </c>
      <c r="F152" s="101">
        <v>19922.3</v>
      </c>
      <c r="G152" s="101">
        <v>7455.869999999999</v>
      </c>
      <c r="H152" s="101">
        <v>5107</v>
      </c>
      <c r="I152" s="100">
        <v>6158.64</v>
      </c>
      <c r="J152" s="101">
        <v>18721.509999999998</v>
      </c>
      <c r="K152" s="100">
        <v>1859</v>
      </c>
      <c r="L152" s="101">
        <v>16862.509999999998</v>
      </c>
      <c r="M152" s="101">
        <v>5451.25</v>
      </c>
      <c r="N152" s="101">
        <v>22313.759999999998</v>
      </c>
      <c r="O152" s="101">
        <v>1940</v>
      </c>
      <c r="P152" s="101">
        <v>20373.759999999998</v>
      </c>
      <c r="Q152" s="101" t="e">
        <v>#REF!</v>
      </c>
      <c r="R152" s="101">
        <v>25703.51</v>
      </c>
      <c r="S152" s="101">
        <v>5617</v>
      </c>
      <c r="T152" s="101">
        <v>20086.509999999998</v>
      </c>
      <c r="U152" s="101">
        <v>5343.25</v>
      </c>
      <c r="V152" s="101">
        <v>25429.759999999998</v>
      </c>
      <c r="W152" s="101">
        <f>_xlfn.XLOOKUP(A152,Sheet1!A:A,Sheet1!W:W,0,FALSE)</f>
        <v>0</v>
      </c>
      <c r="X152" s="101">
        <f>_xlfn.XLOOKUP(A152,Sheet1!A:A,Sheet1!X:X,0,FALSE)</f>
        <v>25429.759999999998</v>
      </c>
      <c r="Y152" s="101">
        <f>_xlfn.XLOOKUP(A152,Sheet1!A:A,Sheet1!Y:Y,0,FALSE)</f>
        <v>4884.25</v>
      </c>
      <c r="Z152" s="101">
        <f t="shared" si="5"/>
        <v>30314.01</v>
      </c>
      <c r="AA152" s="101"/>
      <c r="AB152" s="581">
        <f>_xlfn.XLOOKUP(A152,'Carry Forward 2022'!A:A,'Carry Forward 2022'!B:B,0,FALSE)</f>
        <v>1009</v>
      </c>
      <c r="AC152" s="100">
        <f>_xlfn.XLOOKUP(AB152,'Blade-Export_15-08-2022_cfrdata'!D:D,'Blade-Export_15-08-2022_cfrdata'!BV:BV,0,FALSE)</f>
        <v>25429.759999999998</v>
      </c>
      <c r="AD152" s="101">
        <f t="shared" si="6"/>
        <v>0</v>
      </c>
    </row>
    <row r="153" spans="1:30" x14ac:dyDescent="0.3">
      <c r="A153" s="101" t="s">
        <v>152</v>
      </c>
      <c r="B153" s="101" t="s">
        <v>926</v>
      </c>
      <c r="C153" s="101">
        <v>4298.9500000000007</v>
      </c>
      <c r="D153" s="101">
        <v>5390.5</v>
      </c>
      <c r="E153" s="101">
        <v>9689.4500000000007</v>
      </c>
      <c r="F153" s="101"/>
      <c r="G153" s="101">
        <v>9689.4500000000007</v>
      </c>
      <c r="H153" s="101">
        <v>5593</v>
      </c>
      <c r="I153" s="100">
        <v>7545.36</v>
      </c>
      <c r="J153" s="101">
        <v>22827.81</v>
      </c>
      <c r="K153" s="100">
        <v>840</v>
      </c>
      <c r="L153" s="101">
        <v>21987.81</v>
      </c>
      <c r="M153" s="101">
        <v>5775.25</v>
      </c>
      <c r="N153" s="101">
        <v>27763.06</v>
      </c>
      <c r="O153" s="101">
        <v>673</v>
      </c>
      <c r="P153" s="101">
        <v>27090.06</v>
      </c>
      <c r="Q153" s="101" t="e">
        <v>#REF!</v>
      </c>
      <c r="R153" s="101">
        <v>32811.31</v>
      </c>
      <c r="S153" s="101">
        <v>8545.67</v>
      </c>
      <c r="T153" s="101">
        <v>24265.64</v>
      </c>
      <c r="U153" s="101">
        <v>5404</v>
      </c>
      <c r="V153" s="101">
        <v>29669.64</v>
      </c>
      <c r="W153" s="101">
        <f>_xlfn.XLOOKUP(A153,Sheet1!A:A,Sheet1!W:W,0,FALSE)</f>
        <v>0</v>
      </c>
      <c r="X153" s="101">
        <f>_xlfn.XLOOKUP(A153,Sheet1!A:A,Sheet1!X:X,0,FALSE)</f>
        <v>29669.64</v>
      </c>
      <c r="Y153" s="101">
        <f>_xlfn.XLOOKUP(A153,Sheet1!A:A,Sheet1!Y:Y,0,FALSE)</f>
        <v>5080</v>
      </c>
      <c r="Z153" s="101">
        <f t="shared" si="5"/>
        <v>34749.64</v>
      </c>
      <c r="AA153" s="101"/>
      <c r="AB153" s="581">
        <f>_xlfn.XLOOKUP(A153,'Carry Forward 2022'!A:A,'Carry Forward 2022'!B:B,0,FALSE)</f>
        <v>1019</v>
      </c>
      <c r="AC153" s="100">
        <f>_xlfn.XLOOKUP(AB153,'Blade-Export_15-08-2022_cfrdata'!D:D,'Blade-Export_15-08-2022_cfrdata'!BV:BV,0,FALSE)</f>
        <v>29669.64</v>
      </c>
      <c r="AD153" s="101">
        <f t="shared" si="6"/>
        <v>0</v>
      </c>
    </row>
    <row r="154" spans="1:30" x14ac:dyDescent="0.3">
      <c r="A154" s="101" t="s">
        <v>154</v>
      </c>
      <c r="B154" s="101" t="s">
        <v>925</v>
      </c>
      <c r="C154" s="101">
        <v>19715.75</v>
      </c>
      <c r="D154" s="101">
        <v>5478.25</v>
      </c>
      <c r="E154" s="101">
        <v>25194</v>
      </c>
      <c r="F154" s="101">
        <v>24417.87</v>
      </c>
      <c r="G154" s="101">
        <v>776.13000000000102</v>
      </c>
      <c r="H154" s="101">
        <v>5725.75</v>
      </c>
      <c r="I154" s="100">
        <v>7924.14</v>
      </c>
      <c r="J154" s="101">
        <v>14426.02</v>
      </c>
      <c r="L154" s="101">
        <v>14426.02</v>
      </c>
      <c r="M154" s="101">
        <v>6062.8</v>
      </c>
      <c r="N154" s="101">
        <v>20488.82</v>
      </c>
      <c r="O154" s="101">
        <v>8929.2099999999991</v>
      </c>
      <c r="P154" s="101">
        <v>11559.61</v>
      </c>
      <c r="Q154" s="101" t="e">
        <v>#REF!</v>
      </c>
      <c r="R154" s="101">
        <v>17314.61</v>
      </c>
      <c r="S154" s="101">
        <v>0</v>
      </c>
      <c r="T154" s="101">
        <v>17314.61</v>
      </c>
      <c r="U154" s="101">
        <v>5659.15</v>
      </c>
      <c r="V154" s="101">
        <v>22973.760000000002</v>
      </c>
      <c r="W154" s="101">
        <f>_xlfn.XLOOKUP(A154,Sheet1!A:A,Sheet1!W:W,0,FALSE)</f>
        <v>0</v>
      </c>
      <c r="X154" s="101">
        <f>_xlfn.XLOOKUP(A154,Sheet1!A:A,Sheet1!X:X,0,FALSE)</f>
        <v>22973.760000000002</v>
      </c>
      <c r="Y154" s="101">
        <f>_xlfn.XLOOKUP(A154,Sheet1!A:A,Sheet1!Y:Y,0,FALSE)</f>
        <v>5518.75</v>
      </c>
      <c r="Z154" s="101">
        <f t="shared" si="5"/>
        <v>28492.510000000002</v>
      </c>
      <c r="AA154" s="101"/>
      <c r="AB154" s="581">
        <f>_xlfn.XLOOKUP(A154,'Carry Forward 2022'!A:A,'Carry Forward 2022'!B:B,0,FALSE)</f>
        <v>1020</v>
      </c>
      <c r="AC154" s="100">
        <f>_xlfn.XLOOKUP(AB154,'Blade-Export_15-08-2022_cfrdata'!D:D,'Blade-Export_15-08-2022_cfrdata'!BV:BV,0,FALSE)</f>
        <v>22973.759999999998</v>
      </c>
      <c r="AD154" s="101">
        <f t="shared" si="6"/>
        <v>0</v>
      </c>
    </row>
    <row r="155" spans="1:30" ht="15" thickBot="1" x14ac:dyDescent="0.35">
      <c r="A155" s="101" t="s">
        <v>156</v>
      </c>
      <c r="B155" s="101" t="s">
        <v>924</v>
      </c>
      <c r="C155" s="101">
        <v>-0.23999999999796273</v>
      </c>
      <c r="D155" s="101">
        <v>4769.5</v>
      </c>
      <c r="E155" s="101">
        <v>4769.260000000002</v>
      </c>
      <c r="F155" s="101"/>
      <c r="G155" s="101">
        <v>4769.260000000002</v>
      </c>
      <c r="H155" s="101">
        <v>4828</v>
      </c>
      <c r="I155" s="100">
        <v>5362.56</v>
      </c>
      <c r="J155" s="101">
        <v>14959.820000000003</v>
      </c>
      <c r="K155" s="100">
        <v>3090</v>
      </c>
      <c r="L155" s="101">
        <v>11869.820000000003</v>
      </c>
      <c r="M155" s="101">
        <v>4965.25</v>
      </c>
      <c r="N155" s="101">
        <v>16835.070000000003</v>
      </c>
      <c r="O155" s="101">
        <v>0</v>
      </c>
      <c r="P155" s="101">
        <v>16835.070000000003</v>
      </c>
      <c r="Q155" s="101" t="e">
        <v>#REF!</v>
      </c>
      <c r="R155" s="101">
        <v>21807.070000000003</v>
      </c>
      <c r="S155" s="101">
        <v>3678.55</v>
      </c>
      <c r="T155" s="101">
        <v>18128.520000000004</v>
      </c>
      <c r="U155" s="101">
        <v>4965.25</v>
      </c>
      <c r="V155" s="101">
        <v>23093.770000000004</v>
      </c>
      <c r="W155" s="101">
        <f>_xlfn.XLOOKUP(A155,Sheet1!A:A,Sheet1!W:W,0,FALSE)</f>
        <v>0</v>
      </c>
      <c r="X155" s="101">
        <f>_xlfn.XLOOKUP(A155,Sheet1!A:A,Sheet1!X:X,0,FALSE)</f>
        <v>23093.770000000004</v>
      </c>
      <c r="Y155" s="101">
        <f>_xlfn.XLOOKUP(A155,Sheet1!A:A,Sheet1!Y:Y,0,FALSE)</f>
        <v>4965.25</v>
      </c>
      <c r="Z155" s="101">
        <f t="shared" si="5"/>
        <v>28059.020000000004</v>
      </c>
      <c r="AA155" s="101"/>
      <c r="AB155" s="581">
        <f>_xlfn.XLOOKUP(A155,'Carry Forward 2022'!A:A,'Carry Forward 2022'!B:B,0,FALSE)</f>
        <v>1014</v>
      </c>
      <c r="AC155" s="100">
        <f>_xlfn.XLOOKUP(AB155,'Blade-Export_15-08-2022_cfrdata'!D:D,'Blade-Export_15-08-2022_cfrdata'!BV:BV,0,FALSE)</f>
        <v>23093.77</v>
      </c>
      <c r="AD155" s="101">
        <f t="shared" si="6"/>
        <v>0</v>
      </c>
    </row>
    <row r="156" spans="1:30" ht="15" thickBot="1" x14ac:dyDescent="0.35">
      <c r="A156" s="126"/>
      <c r="B156" s="125" t="s">
        <v>885</v>
      </c>
      <c r="C156" s="113">
        <v>206256.05000000005</v>
      </c>
      <c r="D156" s="113">
        <v>128302.2</v>
      </c>
      <c r="E156" s="113">
        <v>334558.25</v>
      </c>
      <c r="F156" s="113">
        <v>155378.94</v>
      </c>
      <c r="G156" s="113">
        <v>179179.31000000003</v>
      </c>
      <c r="H156" s="113">
        <v>130225.73</v>
      </c>
      <c r="I156" s="113">
        <v>144791.10000000003</v>
      </c>
      <c r="J156" s="113">
        <v>454196.14</v>
      </c>
      <c r="K156" s="113">
        <v>114088.76000000001</v>
      </c>
      <c r="L156" s="113">
        <v>340107.38</v>
      </c>
      <c r="M156" s="113">
        <v>134626.38</v>
      </c>
      <c r="N156" s="113">
        <v>474733.75999999995</v>
      </c>
      <c r="O156" s="113">
        <v>141642.84</v>
      </c>
      <c r="P156" s="113">
        <v>333090.92</v>
      </c>
      <c r="Q156" s="113" t="e">
        <v>#REF!</v>
      </c>
      <c r="R156" s="113">
        <v>468366.20999999996</v>
      </c>
      <c r="S156" s="113">
        <v>147863.21</v>
      </c>
      <c r="T156" s="113">
        <v>320503</v>
      </c>
      <c r="U156" s="113">
        <v>135275.18</v>
      </c>
      <c r="V156" s="113">
        <v>455778.18000000005</v>
      </c>
      <c r="W156" s="113">
        <f>SUM(W129:W155)</f>
        <v>34983.880000000005</v>
      </c>
      <c r="X156" s="113">
        <f>SUM(X129:X155)</f>
        <v>420794.3000000001</v>
      </c>
      <c r="Y156" s="113">
        <f t="shared" ref="Y156:Z156" si="7">SUM(Y129:Y155)</f>
        <v>130968.78000000001</v>
      </c>
      <c r="Z156" s="113">
        <f t="shared" si="7"/>
        <v>551763.08000000007</v>
      </c>
      <c r="AA156" s="112"/>
      <c r="AB156" s="581">
        <f>_xlfn.XLOOKUP(A156,'Carry Forward 2022'!A:A,'Carry Forward 2022'!B:B,0,FALSE)</f>
        <v>0</v>
      </c>
      <c r="AC156" s="100">
        <f>_xlfn.XLOOKUP(AB156,'Blade-Export_15-08-2022_cfrdata'!D:D,'Blade-Export_15-08-2022_cfrdata'!BV:BV,0,FALSE)</f>
        <v>0</v>
      </c>
      <c r="AD156" s="101"/>
    </row>
    <row r="157" spans="1:30" x14ac:dyDescent="0.3">
      <c r="A157" s="100" t="s">
        <v>502</v>
      </c>
      <c r="B157" s="118" t="s">
        <v>923</v>
      </c>
      <c r="C157" s="101">
        <v>19896</v>
      </c>
      <c r="D157" s="101">
        <v>21561.25</v>
      </c>
      <c r="E157" s="101">
        <v>41457.25</v>
      </c>
      <c r="F157" s="101">
        <v>19896</v>
      </c>
      <c r="G157" s="101">
        <v>21561.25</v>
      </c>
      <c r="H157" s="101">
        <v>22258.75</v>
      </c>
      <c r="I157" s="100">
        <v>55098.3</v>
      </c>
      <c r="J157" s="101">
        <v>98918.3</v>
      </c>
      <c r="K157" s="100">
        <v>43820</v>
      </c>
      <c r="L157" s="101">
        <v>55098.3</v>
      </c>
      <c r="M157" s="101">
        <v>23063.13</v>
      </c>
      <c r="N157" s="101">
        <v>78161.430000000008</v>
      </c>
      <c r="O157" s="101">
        <v>55098</v>
      </c>
      <c r="P157" s="101">
        <v>23063.430000000008</v>
      </c>
      <c r="Q157" s="101" t="e">
        <v>#REF!</v>
      </c>
      <c r="R157" s="101">
        <v>45924.05</v>
      </c>
      <c r="S157" s="101">
        <v>45924</v>
      </c>
      <c r="T157" s="101">
        <v>5.0000000002910383E-2</v>
      </c>
      <c r="U157" s="101">
        <v>22776.25</v>
      </c>
      <c r="V157" s="101">
        <v>22776.300000000003</v>
      </c>
      <c r="W157" s="101">
        <f>_xlfn.XLOOKUP(A157,Sheet1!A:A,Sheet1!W:W,0,FALSE)</f>
        <v>0</v>
      </c>
      <c r="X157" s="101">
        <f>_xlfn.XLOOKUP(A157,Sheet1!A:A,Sheet1!X:X,0,FALSE)</f>
        <v>22776.300000000003</v>
      </c>
      <c r="Y157" s="101">
        <f>_xlfn.XLOOKUP(A157,Sheet1!A:A,Sheet1!Y:Y,0,FALSE)</f>
        <v>23175.62</v>
      </c>
      <c r="Z157" s="101">
        <f t="shared" ref="Z157:Z172" si="8">SUM(X157:Y157)</f>
        <v>45951.92</v>
      </c>
      <c r="AA157" s="101"/>
      <c r="AB157" s="581">
        <f>_xlfn.XLOOKUP(A157,'Carry Forward 2022'!A:A,'Carry Forward 2022'!B:B,0,FALSE)</f>
        <v>4115</v>
      </c>
      <c r="AC157" s="100">
        <f>_xlfn.XLOOKUP(AB157,'Blade-Export_15-08-2022_cfrdata'!D:D,'Blade-Export_15-08-2022_cfrdata'!BV:BV,0,FALSE)</f>
        <v>22776.3</v>
      </c>
      <c r="AD157" s="101">
        <f t="shared" si="6"/>
        <v>0</v>
      </c>
    </row>
    <row r="158" spans="1:30" x14ac:dyDescent="0.3">
      <c r="A158" s="100" t="s">
        <v>578</v>
      </c>
      <c r="B158" s="108" t="s">
        <v>922</v>
      </c>
      <c r="C158" s="101">
        <v>369.6299999999901</v>
      </c>
      <c r="D158" s="101">
        <v>15947.5</v>
      </c>
      <c r="E158" s="101">
        <v>16317.12999999999</v>
      </c>
      <c r="F158" s="101"/>
      <c r="G158" s="101">
        <v>16317.12999999999</v>
      </c>
      <c r="H158" s="101">
        <v>14057.5</v>
      </c>
      <c r="I158" s="100">
        <v>31697.4</v>
      </c>
      <c r="J158" s="101">
        <v>62072.029999999992</v>
      </c>
      <c r="K158" s="100">
        <v>0</v>
      </c>
      <c r="L158" s="101">
        <v>62072.029999999992</v>
      </c>
      <c r="M158" s="101">
        <v>14867.5</v>
      </c>
      <c r="N158" s="101">
        <v>76939.53</v>
      </c>
      <c r="O158" s="101">
        <v>0</v>
      </c>
      <c r="P158" s="101">
        <v>76939.53</v>
      </c>
      <c r="Q158" s="101" t="e">
        <v>#REF!</v>
      </c>
      <c r="R158" s="101">
        <v>92650.78</v>
      </c>
      <c r="S158" s="101">
        <v>0</v>
      </c>
      <c r="T158" s="101">
        <v>92650.78</v>
      </c>
      <c r="U158" s="101">
        <v>21735.62</v>
      </c>
      <c r="V158" s="101">
        <v>114386.4</v>
      </c>
      <c r="W158" s="101">
        <f>_xlfn.XLOOKUP(A158,Sheet1!A:A,Sheet1!W:W,0,FALSE)</f>
        <v>94920.590000000011</v>
      </c>
      <c r="X158" s="101">
        <f>_xlfn.XLOOKUP(A158,Sheet1!A:A,Sheet1!X:X,0,FALSE)</f>
        <v>19465.809999999983</v>
      </c>
      <c r="Y158" s="101">
        <f>_xlfn.XLOOKUP(A158,Sheet1!A:A,Sheet1!Y:Y,0,FALSE)</f>
        <v>21119.69</v>
      </c>
      <c r="Z158" s="101">
        <f t="shared" si="8"/>
        <v>40585.499999999985</v>
      </c>
      <c r="AA158" s="101"/>
      <c r="AB158" s="581">
        <f>_xlfn.XLOOKUP(A158,'Carry Forward 2022'!A:A,'Carry Forward 2022'!B:B,0,FALSE)</f>
        <v>1100</v>
      </c>
      <c r="AC158" s="100">
        <f>_xlfn.XLOOKUP(AB158,'Blade-Export_15-08-2022_cfrdata'!D:D,'Blade-Export_15-08-2022_cfrdata'!BV:BV,0,FALSE)</f>
        <v>19465.810000000001</v>
      </c>
      <c r="AD158" s="101">
        <f t="shared" si="6"/>
        <v>0</v>
      </c>
    </row>
    <row r="159" spans="1:30" x14ac:dyDescent="0.3">
      <c r="A159" s="100" t="s">
        <v>506</v>
      </c>
      <c r="B159" s="116" t="s">
        <v>921</v>
      </c>
      <c r="C159" s="101">
        <v>0</v>
      </c>
      <c r="D159" s="101">
        <v>22348.75</v>
      </c>
      <c r="E159" s="101">
        <v>22348.75</v>
      </c>
      <c r="F159" s="101">
        <v>21051</v>
      </c>
      <c r="G159" s="101">
        <v>1297.75</v>
      </c>
      <c r="H159" s="101">
        <v>22978.75</v>
      </c>
      <c r="I159" s="100">
        <v>57152.7</v>
      </c>
      <c r="J159" s="101">
        <v>81429.2</v>
      </c>
      <c r="K159" s="100">
        <v>0</v>
      </c>
      <c r="L159" s="101">
        <v>81429.2</v>
      </c>
      <c r="M159" s="101">
        <v>22905.63</v>
      </c>
      <c r="N159" s="101">
        <v>104334.83</v>
      </c>
      <c r="O159" s="101">
        <v>104334.84</v>
      </c>
      <c r="P159" s="101">
        <v>-9.9999999947613105E-3</v>
      </c>
      <c r="Q159" s="101" t="e">
        <v>#REF!</v>
      </c>
      <c r="R159" s="101">
        <v>23119.370000000006</v>
      </c>
      <c r="S159" s="101">
        <v>-0.83</v>
      </c>
      <c r="T159" s="101">
        <v>23120.200000000008</v>
      </c>
      <c r="U159" s="101">
        <v>23282.5</v>
      </c>
      <c r="V159" s="101">
        <v>46402.700000000012</v>
      </c>
      <c r="W159" s="101">
        <f>_xlfn.XLOOKUP(A159,Sheet1!A:A,Sheet1!W:W,0,FALSE)</f>
        <v>0</v>
      </c>
      <c r="X159" s="101">
        <f>_xlfn.XLOOKUP(A159,Sheet1!A:A,Sheet1!X:X,0,FALSE)</f>
        <v>46402.700000000012</v>
      </c>
      <c r="Y159" s="101">
        <f>_xlfn.XLOOKUP(A159,Sheet1!A:A,Sheet1!Y:Y,0,FALSE)</f>
        <v>24401.88</v>
      </c>
      <c r="Z159" s="101">
        <f t="shared" si="8"/>
        <v>70804.580000000016</v>
      </c>
      <c r="AA159" s="101"/>
      <c r="AB159" s="581">
        <f>_xlfn.XLOOKUP(A159,'Carry Forward 2022'!A:A,'Carry Forward 2022'!B:B,0,FALSE)</f>
        <v>5416</v>
      </c>
      <c r="AC159" s="100">
        <f>_xlfn.XLOOKUP(AB159,'Blade-Export_15-08-2022_cfrdata'!D:D,'Blade-Export_15-08-2022_cfrdata'!BV:BV,0,FALSE)</f>
        <v>46402.7</v>
      </c>
      <c r="AD159" s="101">
        <f t="shared" si="6"/>
        <v>0</v>
      </c>
    </row>
    <row r="160" spans="1:30" x14ac:dyDescent="0.3">
      <c r="A160" s="124" t="s">
        <v>920</v>
      </c>
      <c r="B160" s="122" t="s">
        <v>919</v>
      </c>
      <c r="C160" s="120">
        <v>7702</v>
      </c>
      <c r="D160" s="120">
        <v>8455</v>
      </c>
      <c r="E160" s="120">
        <v>16157</v>
      </c>
      <c r="F160" s="120">
        <v>1744.4</v>
      </c>
      <c r="G160" s="120">
        <v>14412.6</v>
      </c>
      <c r="H160" s="120">
        <v>9214.3799999999992</v>
      </c>
      <c r="I160" s="124">
        <v>17878.349999999999</v>
      </c>
      <c r="J160" s="120">
        <v>41505.33</v>
      </c>
      <c r="K160" s="124">
        <v>12413.29</v>
      </c>
      <c r="L160" s="120">
        <v>29092.04</v>
      </c>
      <c r="M160" s="120">
        <v>9248.1299999999992</v>
      </c>
      <c r="N160" s="120">
        <v>38340.17</v>
      </c>
      <c r="O160" s="120">
        <v>38340.17</v>
      </c>
      <c r="P160" s="120">
        <v>0</v>
      </c>
      <c r="Q160" s="121"/>
      <c r="R160" s="101">
        <v>0</v>
      </c>
      <c r="S160" s="101">
        <v>0</v>
      </c>
      <c r="T160" s="101">
        <v>0</v>
      </c>
      <c r="U160" s="101"/>
      <c r="V160" s="101">
        <v>0</v>
      </c>
      <c r="W160" s="101">
        <f>_xlfn.XLOOKUP(A160,Sheet1!A:A,Sheet1!W:W,0,FALSE)</f>
        <v>0</v>
      </c>
      <c r="X160" s="101">
        <f>_xlfn.XLOOKUP(A160,Sheet1!A:A,Sheet1!X:X,0,FALSE)</f>
        <v>0</v>
      </c>
      <c r="Y160" s="120">
        <f>_xlfn.XLOOKUP(A160,Sheet1!A:A,Sheet1!Y:Y,0,FALSE)</f>
        <v>0</v>
      </c>
      <c r="Z160" s="120">
        <f t="shared" si="8"/>
        <v>0</v>
      </c>
      <c r="AA160" s="120"/>
      <c r="AB160" s="581">
        <f>_xlfn.XLOOKUP(A160,'Carry Forward 2022'!A:A,'Carry Forward 2022'!B:B,0,FALSE)</f>
        <v>0</v>
      </c>
      <c r="AC160" s="100">
        <f>_xlfn.XLOOKUP(AB160,'Blade-Export_15-08-2022_cfrdata'!D:D,'Blade-Export_15-08-2022_cfrdata'!BV:BV,0,FALSE)</f>
        <v>0</v>
      </c>
      <c r="AD160" s="101">
        <f t="shared" si="6"/>
        <v>0</v>
      </c>
    </row>
    <row r="161" spans="1:30" x14ac:dyDescent="0.3">
      <c r="A161" s="100" t="s">
        <v>508</v>
      </c>
      <c r="B161" s="116" t="s">
        <v>918</v>
      </c>
      <c r="C161" s="101">
        <v>3</v>
      </c>
      <c r="D161" s="101">
        <v>24131.88</v>
      </c>
      <c r="E161" s="101">
        <v>24134.880000000001</v>
      </c>
      <c r="F161" s="101"/>
      <c r="G161" s="101">
        <v>24134.880000000001</v>
      </c>
      <c r="H161" s="101">
        <v>24233.13</v>
      </c>
      <c r="I161" s="100">
        <v>60731.85</v>
      </c>
      <c r="J161" s="101">
        <v>109099.86</v>
      </c>
      <c r="K161" s="100">
        <v>0</v>
      </c>
      <c r="L161" s="101">
        <v>109099.86</v>
      </c>
      <c r="M161" s="101">
        <v>24503.13</v>
      </c>
      <c r="N161" s="101">
        <v>133602.99</v>
      </c>
      <c r="O161" s="101">
        <v>91064</v>
      </c>
      <c r="P161" s="101">
        <v>42538.989999999991</v>
      </c>
      <c r="Q161" s="101" t="e">
        <v>#REF!</v>
      </c>
      <c r="R161" s="101">
        <v>67042.109999999986</v>
      </c>
      <c r="S161" s="101">
        <v>0</v>
      </c>
      <c r="T161" s="101">
        <v>67042.109999999986</v>
      </c>
      <c r="U161" s="101">
        <v>24401.88</v>
      </c>
      <c r="V161" s="101">
        <v>91443.989999999991</v>
      </c>
      <c r="W161" s="101">
        <f>_xlfn.XLOOKUP(A161,Sheet1!A:A,Sheet1!W:W,0,FALSE)</f>
        <v>0</v>
      </c>
      <c r="X161" s="101">
        <f>_xlfn.XLOOKUP(A161,Sheet1!A:A,Sheet1!X:X,0,FALSE)</f>
        <v>91443.989999999991</v>
      </c>
      <c r="Y161" s="101">
        <f>_xlfn.XLOOKUP(A161,Sheet1!A:A,Sheet1!Y:Y,0,FALSE)</f>
        <v>24131.88</v>
      </c>
      <c r="Z161" s="101">
        <f t="shared" si="8"/>
        <v>115575.87</v>
      </c>
      <c r="AA161" s="101"/>
      <c r="AB161" s="581">
        <f>_xlfn.XLOOKUP(A161,'Carry Forward 2022'!A:A,'Carry Forward 2022'!B:B,0,FALSE)</f>
        <v>4201</v>
      </c>
      <c r="AC161" s="100">
        <f>_xlfn.XLOOKUP(AB161,'Blade-Export_15-08-2022_cfrdata'!D:D,'Blade-Export_15-08-2022_cfrdata'!BV:BV,0,FALSE)</f>
        <v>91443.99</v>
      </c>
      <c r="AD161" s="101">
        <f t="shared" si="6"/>
        <v>0</v>
      </c>
    </row>
    <row r="162" spans="1:30" x14ac:dyDescent="0.3">
      <c r="A162" s="100" t="s">
        <v>510</v>
      </c>
      <c r="B162" s="118" t="s">
        <v>917</v>
      </c>
      <c r="C162" s="101">
        <v>0</v>
      </c>
      <c r="D162" s="101">
        <v>16661.88</v>
      </c>
      <c r="E162" s="101">
        <v>16661.88</v>
      </c>
      <c r="F162" s="101">
        <v>16606</v>
      </c>
      <c r="G162" s="101">
        <v>55.880000000001019</v>
      </c>
      <c r="H162" s="101">
        <v>16673.13</v>
      </c>
      <c r="I162" s="100">
        <v>39160.65</v>
      </c>
      <c r="J162" s="101">
        <v>55889.66</v>
      </c>
      <c r="K162" s="100">
        <v>0</v>
      </c>
      <c r="L162" s="101">
        <v>55889.66</v>
      </c>
      <c r="M162" s="101">
        <v>16656.25</v>
      </c>
      <c r="N162" s="101">
        <v>72545.91</v>
      </c>
      <c r="O162" s="101">
        <v>0</v>
      </c>
      <c r="P162" s="101">
        <v>72545.91</v>
      </c>
      <c r="Q162" s="101" t="e">
        <v>#REF!</v>
      </c>
      <c r="R162" s="101">
        <v>89202.16</v>
      </c>
      <c r="S162" s="101">
        <v>78288</v>
      </c>
      <c r="T162" s="101">
        <v>10914.160000000003</v>
      </c>
      <c r="U162" s="101">
        <v>16622.5</v>
      </c>
      <c r="V162" s="101">
        <v>27536.660000000003</v>
      </c>
      <c r="W162" s="101">
        <f>_xlfn.XLOOKUP(A162,Sheet1!A:A,Sheet1!W:W,0,FALSE)</f>
        <v>0</v>
      </c>
      <c r="X162" s="101">
        <f>_xlfn.XLOOKUP(A162,Sheet1!A:A,Sheet1!X:X,0,FALSE)</f>
        <v>27536.660000000003</v>
      </c>
      <c r="Y162" s="101">
        <f>_xlfn.XLOOKUP(A162,Sheet1!A:A,Sheet1!Y:Y,0,FALSE)</f>
        <v>16605.62</v>
      </c>
      <c r="Z162" s="101">
        <f t="shared" si="8"/>
        <v>44142.28</v>
      </c>
      <c r="AA162" s="101"/>
      <c r="AB162" s="581">
        <f>_xlfn.XLOOKUP(A162,'Carry Forward 2022'!A:A,'Carry Forward 2022'!B:B,0,FALSE)</f>
        <v>4015</v>
      </c>
      <c r="AC162" s="100">
        <f>_xlfn.XLOOKUP(AB162,'Blade-Export_15-08-2022_cfrdata'!D:D,'Blade-Export_15-08-2022_cfrdata'!BV:BV,0,FALSE)</f>
        <v>27536.66</v>
      </c>
      <c r="AD162" s="101">
        <f t="shared" si="6"/>
        <v>0</v>
      </c>
    </row>
    <row r="163" spans="1:30" x14ac:dyDescent="0.3">
      <c r="A163" s="100" t="s">
        <v>514</v>
      </c>
      <c r="B163" s="119" t="s">
        <v>916</v>
      </c>
      <c r="C163" s="101">
        <v>26.459999999999127</v>
      </c>
      <c r="D163" s="101">
        <v>13028.13</v>
      </c>
      <c r="E163" s="101">
        <v>13054.589999999998</v>
      </c>
      <c r="F163" s="101">
        <v>13054.59</v>
      </c>
      <c r="G163" s="101">
        <v>0</v>
      </c>
      <c r="H163" s="101">
        <v>13433.13</v>
      </c>
      <c r="I163" s="100">
        <v>29915.85</v>
      </c>
      <c r="J163" s="101">
        <v>43348.979999999996</v>
      </c>
      <c r="K163" s="100">
        <v>0</v>
      </c>
      <c r="L163" s="101">
        <v>43348.979999999996</v>
      </c>
      <c r="M163" s="101">
        <v>13821.25</v>
      </c>
      <c r="N163" s="101">
        <v>57170.229999999996</v>
      </c>
      <c r="O163" s="101">
        <v>47248.539999999994</v>
      </c>
      <c r="P163" s="101">
        <v>9921.6900000000023</v>
      </c>
      <c r="Q163" s="101" t="e">
        <v>#REF!</v>
      </c>
      <c r="R163" s="101">
        <v>23962.310000000005</v>
      </c>
      <c r="S163" s="101">
        <v>20436.580000000002</v>
      </c>
      <c r="T163" s="101">
        <v>3525.7300000000032</v>
      </c>
      <c r="U163" s="100">
        <v>14631.25</v>
      </c>
      <c r="V163" s="101">
        <v>18156.980000000003</v>
      </c>
      <c r="W163" s="101">
        <f>_xlfn.XLOOKUP(A163,Sheet1!A:A,Sheet1!W:W,0,FALSE)</f>
        <v>15654</v>
      </c>
      <c r="X163" s="101">
        <f>_xlfn.XLOOKUP(A163,Sheet1!A:A,Sheet1!X:X,0,FALSE)</f>
        <v>2502.9800000000032</v>
      </c>
      <c r="Y163" s="101">
        <f>_xlfn.XLOOKUP(A163,Sheet1!A:A,Sheet1!Y:Y,0,FALSE)</f>
        <v>15044.69</v>
      </c>
      <c r="Z163" s="101">
        <f t="shared" si="8"/>
        <v>17547.670000000006</v>
      </c>
      <c r="AA163" s="101"/>
      <c r="AB163" s="581">
        <f>_xlfn.XLOOKUP(A163,'Carry Forward 2022'!A:A,'Carry Forward 2022'!B:B,0,FALSE)</f>
        <v>4063</v>
      </c>
      <c r="AC163" s="100">
        <f>_xlfn.XLOOKUP(AB163,'Blade-Export_15-08-2022_cfrdata'!D:D,'Blade-Export_15-08-2022_cfrdata'!BV:BV,0,FALSE)</f>
        <v>2502.98</v>
      </c>
      <c r="AD163" s="101">
        <f t="shared" si="6"/>
        <v>0</v>
      </c>
    </row>
    <row r="164" spans="1:30" x14ac:dyDescent="0.3">
      <c r="B164" s="116" t="s">
        <v>915</v>
      </c>
      <c r="C164" s="101"/>
      <c r="D164" s="101"/>
      <c r="E164" s="101"/>
      <c r="F164" s="101"/>
      <c r="G164" s="101"/>
      <c r="H164" s="101"/>
      <c r="J164" s="101"/>
      <c r="L164" s="101"/>
      <c r="M164" s="101"/>
      <c r="N164" s="101"/>
      <c r="O164" s="101"/>
      <c r="P164" s="101">
        <v>0</v>
      </c>
      <c r="Q164" s="101">
        <v>27928.75</v>
      </c>
      <c r="R164" s="101">
        <v>27928.75</v>
      </c>
      <c r="S164" s="101">
        <v>27928.75</v>
      </c>
      <c r="T164" s="101">
        <v>0</v>
      </c>
      <c r="U164" s="101">
        <v>28412.5</v>
      </c>
      <c r="V164" s="101">
        <v>28412.5</v>
      </c>
      <c r="W164" s="101">
        <f>_xlfn.XLOOKUP(A164,Sheet1!A:A,Sheet1!W:W,0,FALSE)</f>
        <v>0</v>
      </c>
      <c r="X164" s="101">
        <f>_xlfn.XLOOKUP(A164,Sheet1!A:A,Sheet1!X:X,0,FALSE)</f>
        <v>0</v>
      </c>
      <c r="Y164" s="101">
        <f>_xlfn.XLOOKUP(A164,Sheet1!A:A,Sheet1!Y:Y,0,FALSE)</f>
        <v>0</v>
      </c>
      <c r="Z164" s="101">
        <f t="shared" si="8"/>
        <v>0</v>
      </c>
      <c r="AA164" s="101"/>
      <c r="AB164" s="581">
        <f>_xlfn.XLOOKUP(A164,'Carry Forward 2022'!A:A,'Carry Forward 2022'!B:B,0,FALSE)</f>
        <v>0</v>
      </c>
      <c r="AC164" s="100">
        <f>_xlfn.XLOOKUP(AB164,'Blade-Export_15-08-2022_cfrdata'!D:D,'Blade-Export_15-08-2022_cfrdata'!BV:BV,0,FALSE)</f>
        <v>0</v>
      </c>
      <c r="AD164" s="101">
        <f t="shared" si="6"/>
        <v>0</v>
      </c>
    </row>
    <row r="165" spans="1:30" x14ac:dyDescent="0.3">
      <c r="A165" s="100" t="s">
        <v>520</v>
      </c>
      <c r="B165" s="123" t="s">
        <v>914</v>
      </c>
      <c r="C165" s="101">
        <v>16369</v>
      </c>
      <c r="D165" s="101">
        <v>16892.5</v>
      </c>
      <c r="E165" s="101">
        <v>33261.5</v>
      </c>
      <c r="F165" s="101">
        <v>16369</v>
      </c>
      <c r="G165" s="101">
        <v>16892.5</v>
      </c>
      <c r="H165" s="101">
        <v>17365</v>
      </c>
      <c r="I165" s="100">
        <v>41134.800000000003</v>
      </c>
      <c r="J165" s="101">
        <v>75392.3</v>
      </c>
      <c r="K165" s="100">
        <v>34257</v>
      </c>
      <c r="L165" s="101">
        <v>41135.300000000003</v>
      </c>
      <c r="M165" s="101">
        <v>18006.25</v>
      </c>
      <c r="N165" s="101">
        <v>59141.55</v>
      </c>
      <c r="O165" s="101">
        <v>41135</v>
      </c>
      <c r="P165" s="101">
        <v>18006.550000000003</v>
      </c>
      <c r="Q165" s="101" t="e">
        <v>#REF!</v>
      </c>
      <c r="R165" s="101">
        <v>36687.800000000003</v>
      </c>
      <c r="S165" s="101">
        <v>36687</v>
      </c>
      <c r="T165" s="101">
        <v>0.80000000000291038</v>
      </c>
      <c r="U165" s="101">
        <v>18520.939999999999</v>
      </c>
      <c r="V165" s="101">
        <v>18521.740000000002</v>
      </c>
      <c r="W165" s="101">
        <f>_xlfn.XLOOKUP(A165,Sheet1!A:A,Sheet1!W:W,0,FALSE)</f>
        <v>0</v>
      </c>
      <c r="X165" s="101">
        <f>_xlfn.XLOOKUP(A165,Sheet1!A:A,Sheet1!X:X,0,FALSE)</f>
        <v>18521.740000000002</v>
      </c>
      <c r="Y165" s="101">
        <f>_xlfn.XLOOKUP(A165,Sheet1!A:A,Sheet1!Y:Y,0,FALSE)</f>
        <v>18807.810000000001</v>
      </c>
      <c r="Z165" s="101">
        <f t="shared" si="8"/>
        <v>37329.550000000003</v>
      </c>
      <c r="AA165" s="101"/>
      <c r="AB165" s="581">
        <f>_xlfn.XLOOKUP(A165,'Carry Forward 2022'!A:A,'Carry Forward 2022'!B:B,0,FALSE)</f>
        <v>4173</v>
      </c>
      <c r="AC165" s="100">
        <f>_xlfn.XLOOKUP(AB165,'Blade-Export_15-08-2022_cfrdata'!D:D,'Blade-Export_15-08-2022_cfrdata'!BV:BV,0,FALSE)</f>
        <v>18521.740000000002</v>
      </c>
      <c r="AD165" s="101">
        <f t="shared" si="6"/>
        <v>0</v>
      </c>
    </row>
    <row r="166" spans="1:30" x14ac:dyDescent="0.3">
      <c r="A166" s="100" t="s">
        <v>522</v>
      </c>
      <c r="B166" s="116" t="s">
        <v>913</v>
      </c>
      <c r="C166" s="101">
        <v>105469</v>
      </c>
      <c r="D166" s="101">
        <v>15508.75</v>
      </c>
      <c r="E166" s="101">
        <v>120977.75</v>
      </c>
      <c r="F166" s="101">
        <v>120977.75</v>
      </c>
      <c r="G166" s="101">
        <v>0</v>
      </c>
      <c r="H166" s="101">
        <v>15441.25</v>
      </c>
      <c r="I166" s="100">
        <v>35645.699999999997</v>
      </c>
      <c r="J166" s="101">
        <v>51086.95</v>
      </c>
      <c r="K166" s="100">
        <v>0</v>
      </c>
      <c r="L166" s="101">
        <v>51086.95</v>
      </c>
      <c r="M166" s="101">
        <v>15407.5</v>
      </c>
      <c r="N166" s="101">
        <v>66494.45</v>
      </c>
      <c r="O166" s="101">
        <v>15973</v>
      </c>
      <c r="P166" s="101">
        <v>50521.45</v>
      </c>
      <c r="Q166" s="101" t="e">
        <v>#REF!</v>
      </c>
      <c r="R166" s="101">
        <v>66063.95</v>
      </c>
      <c r="S166" s="101">
        <v>50165</v>
      </c>
      <c r="T166" s="101">
        <v>15898.949999999997</v>
      </c>
      <c r="U166" s="101">
        <v>15829.38</v>
      </c>
      <c r="V166" s="101">
        <v>31728.329999999994</v>
      </c>
      <c r="W166" s="101">
        <f>_xlfn.XLOOKUP(A166,Sheet1!A:A,Sheet1!W:W,0,FALSE)</f>
        <v>0</v>
      </c>
      <c r="X166" s="101">
        <f>_xlfn.XLOOKUP(A166,Sheet1!A:A,Sheet1!X:X,0,FALSE)</f>
        <v>31728.329999999994</v>
      </c>
      <c r="Y166" s="101">
        <f>_xlfn.XLOOKUP(A166,Sheet1!A:A,Sheet1!Y:Y,0,FALSE)</f>
        <v>16318.75</v>
      </c>
      <c r="Z166" s="101">
        <f t="shared" si="8"/>
        <v>48047.079999999994</v>
      </c>
      <c r="AA166" s="101"/>
      <c r="AB166" s="581">
        <f>_xlfn.XLOOKUP(A166,'Carry Forward 2022'!A:A,'Carry Forward 2022'!B:B,0,FALSE)</f>
        <v>4177</v>
      </c>
      <c r="AC166" s="100">
        <f>_xlfn.XLOOKUP(AB166,'Blade-Export_15-08-2022_cfrdata'!D:D,'Blade-Export_15-08-2022_cfrdata'!BV:BV,0,FALSE)</f>
        <v>31728.33</v>
      </c>
      <c r="AD166" s="101">
        <f t="shared" si="6"/>
        <v>0</v>
      </c>
    </row>
    <row r="167" spans="1:30" x14ac:dyDescent="0.3">
      <c r="A167" s="100" t="s">
        <v>530</v>
      </c>
      <c r="B167" s="116" t="s">
        <v>912</v>
      </c>
      <c r="C167" s="101">
        <v>-0.16999999999825377</v>
      </c>
      <c r="D167" s="101">
        <v>12353.13</v>
      </c>
      <c r="E167" s="101">
        <v>12352.960000000001</v>
      </c>
      <c r="F167" s="101">
        <v>12352.96</v>
      </c>
      <c r="G167" s="101">
        <v>0</v>
      </c>
      <c r="H167" s="101">
        <v>13112.5</v>
      </c>
      <c r="I167" s="100">
        <v>29001</v>
      </c>
      <c r="J167" s="101">
        <v>42113.5</v>
      </c>
      <c r="K167" s="100">
        <v>12505</v>
      </c>
      <c r="L167" s="101">
        <v>29608.5</v>
      </c>
      <c r="M167" s="101">
        <v>14057.5</v>
      </c>
      <c r="N167" s="101">
        <v>43666</v>
      </c>
      <c r="O167" s="101">
        <v>37146</v>
      </c>
      <c r="P167" s="101">
        <v>6520</v>
      </c>
      <c r="Q167" s="101" t="e">
        <v>#REF!</v>
      </c>
      <c r="R167" s="101">
        <v>21471.879999999997</v>
      </c>
      <c r="S167" s="101">
        <v>21472</v>
      </c>
      <c r="T167" s="101">
        <v>-0.12000000000261934</v>
      </c>
      <c r="U167" s="101">
        <v>14816.88</v>
      </c>
      <c r="V167" s="101">
        <v>14816.759999999997</v>
      </c>
      <c r="W167" s="101">
        <f>_xlfn.XLOOKUP(A167,Sheet1!A:A,Sheet1!W:W,0,FALSE)</f>
        <v>0</v>
      </c>
      <c r="X167" s="101">
        <f>_xlfn.XLOOKUP(A167,Sheet1!A:A,Sheet1!X:X,0,FALSE)</f>
        <v>14816.759999999997</v>
      </c>
      <c r="Y167" s="101">
        <f>_xlfn.XLOOKUP(A167,Sheet1!A:A,Sheet1!Y:Y,0,FALSE)</f>
        <v>0</v>
      </c>
      <c r="Z167" s="101">
        <f t="shared" si="8"/>
        <v>14816.759999999997</v>
      </c>
      <c r="AA167" s="101"/>
      <c r="AB167" s="581">
        <f>_xlfn.XLOOKUP(A167,'Carry Forward 2022'!A:A,'Carry Forward 2022'!B:B,0,FALSE)</f>
        <v>4188</v>
      </c>
      <c r="AC167" s="100">
        <f>_xlfn.XLOOKUP(AB167,'Blade-Export_15-08-2022_cfrdata'!D:D,'Blade-Export_15-08-2022_cfrdata'!BV:BV,0,FALSE)</f>
        <v>14816.76</v>
      </c>
      <c r="AD167" s="101">
        <f t="shared" si="6"/>
        <v>0</v>
      </c>
    </row>
    <row r="168" spans="1:30" x14ac:dyDescent="0.3">
      <c r="A168" s="100" t="s">
        <v>532</v>
      </c>
      <c r="B168" s="119" t="s">
        <v>911</v>
      </c>
      <c r="C168" s="101">
        <v>1254</v>
      </c>
      <c r="D168" s="101">
        <v>13483.75</v>
      </c>
      <c r="E168" s="101">
        <v>14737.75</v>
      </c>
      <c r="F168" s="101">
        <v>13885</v>
      </c>
      <c r="G168" s="101">
        <v>852.75</v>
      </c>
      <c r="H168" s="101">
        <v>13264.38</v>
      </c>
      <c r="I168" s="100">
        <v>29434.35</v>
      </c>
      <c r="J168" s="101">
        <v>43551.479999999996</v>
      </c>
      <c r="K168" s="100">
        <v>11445</v>
      </c>
      <c r="L168" s="101">
        <v>32106.479999999996</v>
      </c>
      <c r="M168" s="101">
        <v>13787.5</v>
      </c>
      <c r="N168" s="101">
        <v>45893.979999999996</v>
      </c>
      <c r="O168" s="101">
        <v>42396</v>
      </c>
      <c r="P168" s="101">
        <v>3497.9799999999959</v>
      </c>
      <c r="Q168" s="101" t="e">
        <v>#REF!</v>
      </c>
      <c r="R168" s="101">
        <v>17757.979999999996</v>
      </c>
      <c r="S168" s="101">
        <v>8131.2</v>
      </c>
      <c r="T168" s="101">
        <v>9626.7799999999952</v>
      </c>
      <c r="U168" s="101">
        <v>14918.12</v>
      </c>
      <c r="V168" s="101">
        <v>24544.899999999994</v>
      </c>
      <c r="W168" s="101">
        <f>_xlfn.XLOOKUP(A168,Sheet1!A:A,Sheet1!W:W,0,FALSE)</f>
        <v>24544.9</v>
      </c>
      <c r="X168" s="101">
        <f>_xlfn.XLOOKUP(A168,Sheet1!A:A,Sheet1!X:X,0,FALSE)</f>
        <v>0</v>
      </c>
      <c r="Y168" s="101">
        <f>_xlfn.XLOOKUP(A168,Sheet1!A:A,Sheet1!Y:Y,0,FALSE)</f>
        <v>0</v>
      </c>
      <c r="Z168" s="101">
        <f t="shared" si="8"/>
        <v>0</v>
      </c>
      <c r="AA168" s="101"/>
      <c r="AB168" s="581">
        <f>_xlfn.XLOOKUP(A168,'Carry Forward 2022'!A:A,'Carry Forward 2022'!B:B,0,FALSE)</f>
        <v>4187</v>
      </c>
      <c r="AC168" s="100">
        <f>_xlfn.XLOOKUP(AB168,'Blade-Export_15-08-2022_cfrdata'!D:D,'Blade-Export_15-08-2022_cfrdata'!BV:BV,0,FALSE)</f>
        <v>0</v>
      </c>
      <c r="AD168" s="101">
        <f t="shared" si="6"/>
        <v>0</v>
      </c>
    </row>
    <row r="169" spans="1:30" x14ac:dyDescent="0.3">
      <c r="A169" s="100" t="s">
        <v>534</v>
      </c>
      <c r="B169" s="116" t="s">
        <v>910</v>
      </c>
      <c r="C169" s="101">
        <v>0</v>
      </c>
      <c r="D169" s="101">
        <v>14378.13</v>
      </c>
      <c r="E169" s="101">
        <v>14378.13</v>
      </c>
      <c r="F169" s="101"/>
      <c r="G169" s="101">
        <v>14378.13</v>
      </c>
      <c r="H169" s="101">
        <v>14462.5</v>
      </c>
      <c r="I169" s="100">
        <v>32853</v>
      </c>
      <c r="J169" s="101">
        <v>61693.63</v>
      </c>
      <c r="K169" s="100">
        <v>14378</v>
      </c>
      <c r="L169" s="101">
        <v>47315.63</v>
      </c>
      <c r="M169" s="101">
        <v>14800</v>
      </c>
      <c r="N169" s="101">
        <v>62115.63</v>
      </c>
      <c r="O169" s="101">
        <v>62115</v>
      </c>
      <c r="P169" s="101">
        <v>0.62999999999738066</v>
      </c>
      <c r="Q169" s="101" t="e">
        <v>#REF!</v>
      </c>
      <c r="R169" s="101">
        <v>14918.749999999998</v>
      </c>
      <c r="S169" s="101">
        <v>14243</v>
      </c>
      <c r="T169" s="101">
        <v>675.74999999999818</v>
      </c>
      <c r="U169" s="101">
        <v>14842.19</v>
      </c>
      <c r="V169" s="101">
        <v>15517.939999999999</v>
      </c>
      <c r="W169" s="101">
        <f>_xlfn.XLOOKUP(A169,Sheet1!A:A,Sheet1!W:W,0,FALSE)</f>
        <v>15039</v>
      </c>
      <c r="X169" s="101">
        <f>_xlfn.XLOOKUP(A169,Sheet1!A:A,Sheet1!X:X,0,FALSE)</f>
        <v>478.93999999999869</v>
      </c>
      <c r="Y169" s="101">
        <f>_xlfn.XLOOKUP(A169,Sheet1!A:A,Sheet1!Y:Y,0,FALSE)</f>
        <v>14985.62</v>
      </c>
      <c r="Z169" s="101">
        <f t="shared" si="8"/>
        <v>15464.56</v>
      </c>
      <c r="AA169" s="101"/>
      <c r="AB169" s="581">
        <f>_xlfn.XLOOKUP(A169,'Carry Forward 2022'!A:A,'Carry Forward 2022'!B:B,0,FALSE)</f>
        <v>4193</v>
      </c>
      <c r="AC169" s="100">
        <f>_xlfn.XLOOKUP(AB169,'Blade-Export_15-08-2022_cfrdata'!D:D,'Blade-Export_15-08-2022_cfrdata'!BV:BV,0,FALSE)</f>
        <v>478.94</v>
      </c>
      <c r="AD169" s="101">
        <f t="shared" si="6"/>
        <v>-1.3073986337985843E-12</v>
      </c>
    </row>
    <row r="170" spans="1:30" x14ac:dyDescent="0.3">
      <c r="A170" s="100" t="s">
        <v>909</v>
      </c>
      <c r="B170" s="122" t="s">
        <v>908</v>
      </c>
      <c r="C170" s="120">
        <v>22643</v>
      </c>
      <c r="D170" s="120">
        <v>22225</v>
      </c>
      <c r="E170" s="120">
        <v>44868</v>
      </c>
      <c r="F170" s="120">
        <v>24468</v>
      </c>
      <c r="G170" s="120">
        <v>20400</v>
      </c>
      <c r="H170" s="120">
        <v>20706.25</v>
      </c>
      <c r="I170" s="100">
        <v>50668.5</v>
      </c>
      <c r="J170" s="101">
        <v>91774.75</v>
      </c>
      <c r="K170" s="100">
        <v>41106</v>
      </c>
      <c r="L170" s="120">
        <v>50668.75</v>
      </c>
      <c r="M170" s="120">
        <v>20605</v>
      </c>
      <c r="N170" s="120">
        <v>71273.75</v>
      </c>
      <c r="O170" s="120">
        <v>7885.22</v>
      </c>
      <c r="P170" s="120">
        <v>63388.53</v>
      </c>
      <c r="Q170" s="121"/>
      <c r="R170" s="101">
        <v>63388.53</v>
      </c>
      <c r="S170" s="101">
        <v>0</v>
      </c>
      <c r="T170" s="101">
        <v>63388.53</v>
      </c>
      <c r="U170" s="101"/>
      <c r="V170" s="101">
        <v>63388.53</v>
      </c>
      <c r="W170" s="101">
        <f>_xlfn.XLOOKUP(A170,Sheet1!A:A,Sheet1!W:W,0,FALSE)</f>
        <v>0</v>
      </c>
      <c r="X170" s="101">
        <f>_xlfn.XLOOKUP(A170,Sheet1!A:A,Sheet1!X:X,0,FALSE)</f>
        <v>63388.53</v>
      </c>
      <c r="Y170" s="120">
        <f>_xlfn.XLOOKUP(A170,Sheet1!A:A,Sheet1!Y:Y,0,FALSE)</f>
        <v>0</v>
      </c>
      <c r="Z170" s="120">
        <f t="shared" si="8"/>
        <v>63388.53</v>
      </c>
      <c r="AA170" s="120"/>
      <c r="AB170" s="581">
        <f>_xlfn.XLOOKUP(A170,'Carry Forward 2022'!A:A,'Carry Forward 2022'!B:B,0,FALSE)</f>
        <v>0</v>
      </c>
      <c r="AC170" s="100">
        <f>_xlfn.XLOOKUP(AB170,'Blade-Export_15-08-2022_cfrdata'!D:D,'Blade-Export_15-08-2022_cfrdata'!BV:BV,0,FALSE)</f>
        <v>0</v>
      </c>
      <c r="AD170" s="101">
        <f t="shared" si="6"/>
        <v>63388.53</v>
      </c>
    </row>
    <row r="171" spans="1:30" x14ac:dyDescent="0.3">
      <c r="A171" s="100" t="s">
        <v>516</v>
      </c>
      <c r="B171" s="119" t="s">
        <v>907</v>
      </c>
      <c r="C171" s="101">
        <v>70718.73</v>
      </c>
      <c r="D171" s="101">
        <v>15767.5</v>
      </c>
      <c r="E171" s="101">
        <v>86486.23</v>
      </c>
      <c r="F171" s="101"/>
      <c r="G171" s="101">
        <v>86486.23</v>
      </c>
      <c r="H171" s="101">
        <v>15688.75</v>
      </c>
      <c r="I171" s="100">
        <v>36351.9</v>
      </c>
      <c r="J171" s="101">
        <v>138526.88</v>
      </c>
      <c r="K171" s="100">
        <v>51762.22</v>
      </c>
      <c r="L171" s="101">
        <v>86764.66</v>
      </c>
      <c r="M171" s="101">
        <v>14890</v>
      </c>
      <c r="N171" s="101">
        <v>101654.66</v>
      </c>
      <c r="O171" s="117">
        <v>84744.27</v>
      </c>
      <c r="P171" s="101">
        <v>16910.39</v>
      </c>
      <c r="Q171" s="101" t="e">
        <v>#REF!</v>
      </c>
      <c r="R171" s="101">
        <v>31507.89</v>
      </c>
      <c r="S171" s="101">
        <v>13852.85</v>
      </c>
      <c r="T171" s="101">
        <v>17655.04</v>
      </c>
      <c r="U171" s="101">
        <v>15044.69</v>
      </c>
      <c r="V171" s="101">
        <v>32699.730000000003</v>
      </c>
      <c r="W171" s="101">
        <f>_xlfn.XLOOKUP(A171,Sheet1!A:A,Sheet1!W:W,0,FALSE)</f>
        <v>14782.130000000001</v>
      </c>
      <c r="X171" s="101">
        <f>_xlfn.XLOOKUP(A171,Sheet1!A:A,Sheet1!X:X,0,FALSE)</f>
        <v>17917.600000000002</v>
      </c>
      <c r="Y171" s="101">
        <f>_xlfn.XLOOKUP(A171,Sheet1!A:A,Sheet1!Y:Y,0,FALSE)</f>
        <v>16200.62</v>
      </c>
      <c r="Z171" s="101">
        <f t="shared" si="8"/>
        <v>34118.22</v>
      </c>
      <c r="AA171" s="101"/>
      <c r="AB171" s="581">
        <f>_xlfn.XLOOKUP(A171,'Carry Forward 2022'!A:A,'Carry Forward 2022'!B:B,0,FALSE)</f>
        <v>5415</v>
      </c>
      <c r="AC171" s="100">
        <f>_xlfn.XLOOKUP(AB171,'Blade-Export_15-08-2022_cfrdata'!D:D,'Blade-Export_15-08-2022_cfrdata'!BV:BV,0,FALSE)</f>
        <v>17917.599999999999</v>
      </c>
      <c r="AD171" s="101">
        <f t="shared" si="6"/>
        <v>0</v>
      </c>
    </row>
    <row r="172" spans="1:30" ht="15" thickBot="1" x14ac:dyDescent="0.35">
      <c r="A172" s="100" t="s">
        <v>528</v>
      </c>
      <c r="B172" s="118" t="s">
        <v>906</v>
      </c>
      <c r="C172" s="101">
        <v>0</v>
      </c>
      <c r="D172" s="101">
        <v>34825</v>
      </c>
      <c r="E172" s="101">
        <v>34825</v>
      </c>
      <c r="F172" s="101">
        <v>34825</v>
      </c>
      <c r="G172" s="101">
        <v>0</v>
      </c>
      <c r="H172" s="101">
        <v>35224.379999999997</v>
      </c>
      <c r="I172" s="100">
        <v>92093.55</v>
      </c>
      <c r="J172" s="101">
        <v>127317.93</v>
      </c>
      <c r="K172" s="100">
        <v>34825</v>
      </c>
      <c r="L172" s="101">
        <v>92492.93</v>
      </c>
      <c r="M172" s="101">
        <v>35083.75</v>
      </c>
      <c r="N172" s="101">
        <v>127576.68</v>
      </c>
      <c r="O172" s="101">
        <v>127576</v>
      </c>
      <c r="P172" s="101">
        <v>0.67999999999301508</v>
      </c>
      <c r="Q172" s="101" t="e">
        <v>#REF!</v>
      </c>
      <c r="R172" s="101">
        <v>36164.429999999993</v>
      </c>
      <c r="S172" s="101">
        <v>0</v>
      </c>
      <c r="T172" s="101">
        <v>36164.429999999993</v>
      </c>
      <c r="U172" s="101">
        <v>36374.69</v>
      </c>
      <c r="V172" s="101">
        <v>72539.12</v>
      </c>
      <c r="W172" s="101">
        <f>_xlfn.XLOOKUP(A172,Sheet1!A:A,Sheet1!W:W,0,FALSE)</f>
        <v>0</v>
      </c>
      <c r="X172" s="101">
        <f>_xlfn.XLOOKUP(A172,Sheet1!A:A,Sheet1!X:X,0,FALSE)</f>
        <v>72539.12</v>
      </c>
      <c r="Y172" s="101">
        <f>_xlfn.XLOOKUP(A172,Sheet1!A:A,Sheet1!Y:Y,0,FALSE)</f>
        <v>36352.19</v>
      </c>
      <c r="Z172" s="101">
        <f t="shared" si="8"/>
        <v>108891.31</v>
      </c>
      <c r="AA172" s="101"/>
      <c r="AB172" s="581">
        <f>_xlfn.XLOOKUP(A172,'Carry Forward 2022'!A:A,'Carry Forward 2022'!B:B,0,FALSE)</f>
        <v>4237</v>
      </c>
      <c r="AC172" s="100">
        <f>_xlfn.XLOOKUP(AB172,'Blade-Export_15-08-2022_cfrdata'!D:D,'Blade-Export_15-08-2022_cfrdata'!BV:BV,0,FALSE)</f>
        <v>72539.12</v>
      </c>
      <c r="AD172" s="101">
        <f t="shared" si="6"/>
        <v>0</v>
      </c>
    </row>
    <row r="173" spans="1:30" ht="15" thickBot="1" x14ac:dyDescent="0.35">
      <c r="A173" s="115"/>
      <c r="B173" s="114" t="s">
        <v>885</v>
      </c>
      <c r="C173" s="113">
        <v>244450.64999999997</v>
      </c>
      <c r="D173" s="113">
        <v>267568.15000000002</v>
      </c>
      <c r="E173" s="113">
        <v>512018.8</v>
      </c>
      <c r="F173" s="113">
        <v>295229.69999999995</v>
      </c>
      <c r="G173" s="113">
        <v>216789.09999999998</v>
      </c>
      <c r="H173" s="113">
        <v>268113.78000000003</v>
      </c>
      <c r="I173" s="113">
        <v>638817.9</v>
      </c>
      <c r="J173" s="113">
        <v>1123720.78</v>
      </c>
      <c r="K173" s="113">
        <v>256511.51</v>
      </c>
      <c r="L173" s="113">
        <v>867209.27</v>
      </c>
      <c r="M173" s="113">
        <v>271702.52</v>
      </c>
      <c r="N173" s="113">
        <v>1138911.79</v>
      </c>
      <c r="O173" s="113">
        <v>755056.04</v>
      </c>
      <c r="P173" s="113">
        <v>383855.75000000006</v>
      </c>
      <c r="Q173" s="113" t="e">
        <v>#REF!</v>
      </c>
      <c r="R173" s="113">
        <v>657790.74</v>
      </c>
      <c r="S173" s="113">
        <v>317127.55</v>
      </c>
      <c r="T173" s="113">
        <v>340663.19</v>
      </c>
      <c r="U173" s="113">
        <v>282209.39</v>
      </c>
      <c r="V173" s="113">
        <v>622872.57999999996</v>
      </c>
      <c r="W173" s="113">
        <f>SUM(W157:W172)</f>
        <v>164940.62000000002</v>
      </c>
      <c r="X173" s="113">
        <f>SUM(X157:X172)</f>
        <v>429519.45999999996</v>
      </c>
      <c r="Y173" s="113">
        <f t="shared" ref="Y173:Z173" si="9">SUM(Y157:Y172)</f>
        <v>227144.37</v>
      </c>
      <c r="Z173" s="113">
        <f t="shared" si="9"/>
        <v>656663.83000000007</v>
      </c>
      <c r="AA173" s="112"/>
      <c r="AB173" s="581">
        <f>_xlfn.XLOOKUP(A173,'Carry Forward 2022'!A:A,'Carry Forward 2022'!B:B,0,FALSE)</f>
        <v>0</v>
      </c>
      <c r="AC173" s="100">
        <f>_xlfn.XLOOKUP(AB173,'Blade-Export_15-08-2022_cfrdata'!D:D,'Blade-Export_15-08-2022_cfrdata'!BV:BV,0,FALSE)</f>
        <v>0</v>
      </c>
      <c r="AD173" s="101"/>
    </row>
    <row r="174" spans="1:30" x14ac:dyDescent="0.3">
      <c r="A174" s="100" t="s">
        <v>536</v>
      </c>
      <c r="B174" s="100" t="s">
        <v>905</v>
      </c>
      <c r="C174" s="101">
        <v>8042.25</v>
      </c>
      <c r="D174" s="101">
        <v>7408.75</v>
      </c>
      <c r="E174" s="101">
        <v>15451</v>
      </c>
      <c r="F174" s="101"/>
      <c r="G174" s="101">
        <v>15451</v>
      </c>
      <c r="H174" s="101">
        <v>7915</v>
      </c>
      <c r="I174" s="100">
        <v>14170.8</v>
      </c>
      <c r="J174" s="101">
        <v>37536.800000000003</v>
      </c>
      <c r="K174" s="100">
        <v>8448</v>
      </c>
      <c r="L174" s="101">
        <v>29088.800000000003</v>
      </c>
      <c r="M174" s="101">
        <v>8286.25</v>
      </c>
      <c r="N174" s="101">
        <v>37375.050000000003</v>
      </c>
      <c r="O174" s="101">
        <v>33202.270000000004</v>
      </c>
      <c r="P174" s="101">
        <v>4172.7799999999988</v>
      </c>
      <c r="Q174" s="101" t="e">
        <v>#REF!</v>
      </c>
      <c r="R174" s="101">
        <v>12594.029999999999</v>
      </c>
      <c r="S174" s="101">
        <v>4718.76</v>
      </c>
      <c r="T174" s="101">
        <v>7875.2699999999986</v>
      </c>
      <c r="U174" s="101">
        <v>11365.94</v>
      </c>
      <c r="V174" s="101">
        <v>19241.21</v>
      </c>
      <c r="W174" s="101">
        <f>_xlfn.XLOOKUP(A174,Sheet1!A:A,Sheet1!W:W,0,FALSE)</f>
        <v>-4.5474735088646412E-13</v>
      </c>
      <c r="X174" s="101">
        <f>_xlfn.XLOOKUP(A174,Sheet1!A:A,Sheet1!X:X,0,FALSE)</f>
        <v>19241.21</v>
      </c>
      <c r="Y174" s="101">
        <f>_xlfn.XLOOKUP(A174,Sheet1!A:A,Sheet1!Y:Y,0,FALSE)</f>
        <v>12100</v>
      </c>
      <c r="Z174" s="101">
        <f t="shared" ref="Z174:Z193" si="10">SUM(X174:Y174)</f>
        <v>31341.21</v>
      </c>
      <c r="AA174" s="101"/>
      <c r="AB174" s="581">
        <f>_xlfn.XLOOKUP(A174,'Carry Forward 2022'!A:A,'Carry Forward 2022'!B:B,0,FALSE)</f>
        <v>7016</v>
      </c>
      <c r="AC174" s="100">
        <f>_xlfn.XLOOKUP(AB174,'Blade-Export_15-08-2022_cfrdata'!D:D,'Blade-Export_15-08-2022_cfrdata'!BV:BV,0,FALSE)</f>
        <v>19241.21</v>
      </c>
      <c r="AD174" s="101">
        <f t="shared" si="6"/>
        <v>0</v>
      </c>
    </row>
    <row r="175" spans="1:30" x14ac:dyDescent="0.3">
      <c r="A175" s="100" t="s">
        <v>539</v>
      </c>
      <c r="B175" s="100" t="s">
        <v>904</v>
      </c>
      <c r="C175" s="101">
        <v>9486.4199999999983</v>
      </c>
      <c r="D175" s="101">
        <v>5991.25</v>
      </c>
      <c r="E175" s="101">
        <v>15477.669999999998</v>
      </c>
      <c r="F175" s="101">
        <v>374.98</v>
      </c>
      <c r="G175" s="101">
        <v>15102.689999999999</v>
      </c>
      <c r="H175" s="101">
        <v>6308.5</v>
      </c>
      <c r="I175" s="100">
        <v>9586.92</v>
      </c>
      <c r="J175" s="101">
        <v>30998.11</v>
      </c>
      <c r="K175" s="100">
        <v>191.54</v>
      </c>
      <c r="L175" s="101">
        <v>30806.57</v>
      </c>
      <c r="M175" s="101">
        <v>6214</v>
      </c>
      <c r="N175" s="101">
        <v>37020.57</v>
      </c>
      <c r="O175" s="101">
        <v>15174.54</v>
      </c>
      <c r="P175" s="101">
        <v>21846.03</v>
      </c>
      <c r="Q175" s="101" t="e">
        <v>#REF!</v>
      </c>
      <c r="R175" s="101">
        <v>28397.53</v>
      </c>
      <c r="S175" s="101">
        <v>2970.7</v>
      </c>
      <c r="T175" s="101">
        <v>25426.829999999998</v>
      </c>
      <c r="U175" s="101">
        <v>8181.62</v>
      </c>
      <c r="V175" s="101">
        <v>33608.449999999997</v>
      </c>
      <c r="W175" s="101">
        <f>_xlfn.XLOOKUP(A175,Sheet1!A:A,Sheet1!W:W,0,FALSE)</f>
        <v>10457.790000000001</v>
      </c>
      <c r="X175" s="101">
        <f>_xlfn.XLOOKUP(A175,Sheet1!A:A,Sheet1!X:X,0,FALSE)</f>
        <v>23150.659999999996</v>
      </c>
      <c r="Y175" s="101">
        <f>_xlfn.XLOOKUP(A175,Sheet1!A:A,Sheet1!Y:Y,0,FALSE)</f>
        <v>7928.5</v>
      </c>
      <c r="Z175" s="101">
        <f t="shared" si="10"/>
        <v>31079.159999999996</v>
      </c>
      <c r="AA175" s="101"/>
      <c r="AB175" s="581">
        <f>_xlfn.XLOOKUP(A175,'Carry Forward 2022'!A:A,'Carry Forward 2022'!B:B,0,FALSE)</f>
        <v>7052</v>
      </c>
      <c r="AC175" s="100">
        <f>_xlfn.XLOOKUP(AB175,'Blade-Export_15-08-2022_cfrdata'!D:D,'Blade-Export_15-08-2022_cfrdata'!BV:BV,0,FALSE)</f>
        <v>23150.66</v>
      </c>
      <c r="AD175" s="101">
        <f t="shared" si="6"/>
        <v>0</v>
      </c>
    </row>
    <row r="176" spans="1:30" x14ac:dyDescent="0.3">
      <c r="A176" s="100" t="s">
        <v>541</v>
      </c>
      <c r="B176" s="100" t="s">
        <v>903</v>
      </c>
      <c r="C176" s="101">
        <v>5958</v>
      </c>
      <c r="D176" s="101">
        <v>6092.5</v>
      </c>
      <c r="E176" s="101">
        <v>12050.5</v>
      </c>
      <c r="F176" s="101">
        <v>11428.849999999999</v>
      </c>
      <c r="G176" s="101">
        <v>621.65000000000146</v>
      </c>
      <c r="H176" s="101">
        <v>6092.5</v>
      </c>
      <c r="I176" s="100">
        <v>8970.6</v>
      </c>
      <c r="J176" s="101">
        <v>15684.750000000002</v>
      </c>
      <c r="K176" s="100">
        <v>-4692.8500000000004</v>
      </c>
      <c r="L176" s="101">
        <v>20377.600000000002</v>
      </c>
      <c r="M176" s="101">
        <v>6092.5</v>
      </c>
      <c r="N176" s="101">
        <v>26470.100000000002</v>
      </c>
      <c r="O176" s="101">
        <v>20833.36</v>
      </c>
      <c r="P176" s="101">
        <v>5636.7400000000016</v>
      </c>
      <c r="Q176" s="101" t="e">
        <v>#REF!</v>
      </c>
      <c r="R176" s="101">
        <v>11729.240000000002</v>
      </c>
      <c r="S176" s="101">
        <v>3365</v>
      </c>
      <c r="T176" s="101">
        <v>8364.2400000000016</v>
      </c>
      <c r="U176" s="101">
        <v>7037.5</v>
      </c>
      <c r="V176" s="101">
        <v>15401.740000000002</v>
      </c>
      <c r="W176" s="101">
        <f>_xlfn.XLOOKUP(A176,Sheet1!A:A,Sheet1!W:W,0,FALSE)</f>
        <v>-1.8189894035458565E-12</v>
      </c>
      <c r="X176" s="101">
        <f>_xlfn.XLOOKUP(A176,Sheet1!A:A,Sheet1!X:X,0,FALSE)</f>
        <v>15401.740000000003</v>
      </c>
      <c r="Y176" s="101">
        <f>_xlfn.XLOOKUP(A176,Sheet1!A:A,Sheet1!Y:Y,0,FALSE)</f>
        <v>7645</v>
      </c>
      <c r="Z176" s="101">
        <f t="shared" si="10"/>
        <v>23046.740000000005</v>
      </c>
      <c r="AA176" s="101"/>
      <c r="AB176" s="581">
        <f>_xlfn.XLOOKUP(A176,'Carry Forward 2022'!A:A,'Carry Forward 2022'!B:B,0,FALSE)</f>
        <v>7030</v>
      </c>
      <c r="AC176" s="100">
        <f>_xlfn.XLOOKUP(AB176,'Blade-Export_15-08-2022_cfrdata'!D:D,'Blade-Export_15-08-2022_cfrdata'!BV:BV,0,FALSE)</f>
        <v>15401.74</v>
      </c>
      <c r="AD176" s="101">
        <f t="shared" si="6"/>
        <v>0</v>
      </c>
    </row>
    <row r="177" spans="1:30" x14ac:dyDescent="0.3">
      <c r="A177" s="100" t="s">
        <v>543</v>
      </c>
      <c r="B177" s="116" t="s">
        <v>902</v>
      </c>
      <c r="C177" s="101">
        <v>0</v>
      </c>
      <c r="D177" s="101">
        <v>6700</v>
      </c>
      <c r="E177" s="101">
        <v>6700</v>
      </c>
      <c r="F177" s="101"/>
      <c r="G177" s="101">
        <v>6700</v>
      </c>
      <c r="H177" s="101">
        <v>7429</v>
      </c>
      <c r="I177" s="100">
        <v>12784.08</v>
      </c>
      <c r="J177" s="101">
        <v>26913.08</v>
      </c>
      <c r="L177" s="101">
        <v>26913.08</v>
      </c>
      <c r="M177" s="101">
        <v>7746.25</v>
      </c>
      <c r="N177" s="101">
        <v>34659.33</v>
      </c>
      <c r="O177" s="101">
        <v>0</v>
      </c>
      <c r="P177" s="101">
        <v>34659.33</v>
      </c>
      <c r="Q177" s="101" t="e">
        <v>#REF!</v>
      </c>
      <c r="R177" s="101">
        <v>42439.33</v>
      </c>
      <c r="S177" s="101">
        <v>0</v>
      </c>
      <c r="T177" s="101">
        <v>42439.33</v>
      </c>
      <c r="U177" s="101">
        <v>9619.3799999999992</v>
      </c>
      <c r="V177" s="101">
        <v>52058.71</v>
      </c>
      <c r="W177" s="101">
        <f>_xlfn.XLOOKUP(A177,Sheet1!A:A,Sheet1!W:W,0,FALSE)</f>
        <v>0</v>
      </c>
      <c r="X177" s="101">
        <f>_xlfn.XLOOKUP(A177,Sheet1!A:A,Sheet1!X:X,0,FALSE)</f>
        <v>52058.71</v>
      </c>
      <c r="Y177" s="101">
        <f>_xlfn.XLOOKUP(A177,Sheet1!A:A,Sheet1!Y:Y,0,FALSE)</f>
        <v>9568.75</v>
      </c>
      <c r="Z177" s="101">
        <f t="shared" si="10"/>
        <v>61627.46</v>
      </c>
      <c r="AA177" s="101"/>
      <c r="AB177" s="581">
        <f>_xlfn.XLOOKUP(A177,'Carry Forward 2022'!A:A,'Carry Forward 2022'!B:B,0,FALSE)</f>
        <v>7051</v>
      </c>
      <c r="AC177" s="100">
        <f>_xlfn.XLOOKUP(AB177,'Blade-Export_15-08-2022_cfrdata'!D:D,'Blade-Export_15-08-2022_cfrdata'!BV:BV,0,FALSE)</f>
        <v>52058.71</v>
      </c>
      <c r="AD177" s="101">
        <f t="shared" si="6"/>
        <v>0</v>
      </c>
    </row>
    <row r="178" spans="1:30" x14ac:dyDescent="0.3">
      <c r="A178" s="100" t="s">
        <v>545</v>
      </c>
      <c r="B178" s="100" t="s">
        <v>901</v>
      </c>
      <c r="C178" s="101">
        <v>16583.150000000001</v>
      </c>
      <c r="D178" s="101">
        <v>8657.5</v>
      </c>
      <c r="E178" s="101">
        <v>25240.65</v>
      </c>
      <c r="F178" s="101">
        <v>13255.27</v>
      </c>
      <c r="G178" s="101">
        <v>11985.380000000001</v>
      </c>
      <c r="H178" s="101">
        <v>9130</v>
      </c>
      <c r="I178" s="100">
        <v>17637.599999999999</v>
      </c>
      <c r="J178" s="101">
        <v>38752.979999999996</v>
      </c>
      <c r="K178" s="100">
        <v>4688.25</v>
      </c>
      <c r="L178" s="101">
        <v>34064.729999999996</v>
      </c>
      <c r="M178" s="101">
        <v>9096.25</v>
      </c>
      <c r="N178" s="101">
        <v>43160.979999999996</v>
      </c>
      <c r="O178" s="101">
        <v>4998.2299999999996</v>
      </c>
      <c r="P178" s="101">
        <v>38162.75</v>
      </c>
      <c r="Q178" s="101" t="e">
        <v>#REF!</v>
      </c>
      <c r="R178" s="101">
        <v>47225.25</v>
      </c>
      <c r="S178" s="101">
        <v>0</v>
      </c>
      <c r="T178" s="101">
        <v>47225.25</v>
      </c>
      <c r="U178" s="101">
        <v>11492.5</v>
      </c>
      <c r="V178" s="101">
        <v>58717.75</v>
      </c>
      <c r="W178" s="101">
        <f>_xlfn.XLOOKUP(A178,Sheet1!A:A,Sheet1!W:W,0,FALSE)</f>
        <v>12150</v>
      </c>
      <c r="X178" s="101">
        <f>_xlfn.XLOOKUP(A178,Sheet1!A:A,Sheet1!X:X,0,FALSE)</f>
        <v>46567.75</v>
      </c>
      <c r="Y178" s="101">
        <f>_xlfn.XLOOKUP(A178,Sheet1!A:A,Sheet1!Y:Y,0,FALSE)</f>
        <v>11593.75</v>
      </c>
      <c r="Z178" s="101">
        <f t="shared" si="10"/>
        <v>58161.5</v>
      </c>
      <c r="AA178" s="101"/>
      <c r="AB178" s="581">
        <f>_xlfn.XLOOKUP(A178,'Carry Forward 2022'!A:A,'Carry Forward 2022'!B:B,0,FALSE)</f>
        <v>7035</v>
      </c>
      <c r="AC178" s="100">
        <f>_xlfn.XLOOKUP(AB178,'Blade-Export_15-08-2022_cfrdata'!D:D,'Blade-Export_15-08-2022_cfrdata'!BV:BV,0,FALSE)</f>
        <v>46567.75</v>
      </c>
      <c r="AD178" s="101">
        <f t="shared" si="6"/>
        <v>0</v>
      </c>
    </row>
    <row r="179" spans="1:30" x14ac:dyDescent="0.3">
      <c r="A179" s="100" t="s">
        <v>547</v>
      </c>
      <c r="B179" s="100" t="s">
        <v>900</v>
      </c>
      <c r="C179" s="101">
        <v>22161</v>
      </c>
      <c r="D179" s="101">
        <v>6970</v>
      </c>
      <c r="E179" s="101">
        <v>29131</v>
      </c>
      <c r="F179" s="101">
        <v>18887.489999999998</v>
      </c>
      <c r="G179" s="101">
        <v>10243.510000000002</v>
      </c>
      <c r="H179" s="101">
        <v>7240</v>
      </c>
      <c r="I179" s="100">
        <v>12244.8</v>
      </c>
      <c r="J179" s="101">
        <v>29728.31</v>
      </c>
      <c r="K179" s="100">
        <v>0</v>
      </c>
      <c r="L179" s="101">
        <v>29728.31</v>
      </c>
      <c r="M179" s="101">
        <v>7341.25</v>
      </c>
      <c r="N179" s="101">
        <v>37069.56</v>
      </c>
      <c r="O179" s="101">
        <v>32299.65</v>
      </c>
      <c r="P179" s="101">
        <v>4769.9099999999962</v>
      </c>
      <c r="Q179" s="101" t="e">
        <v>#REF!</v>
      </c>
      <c r="R179" s="101">
        <v>12212.409999999996</v>
      </c>
      <c r="S179" s="101">
        <v>12213</v>
      </c>
      <c r="T179" s="101">
        <v>-0.5900000000037835</v>
      </c>
      <c r="U179" s="101">
        <v>9113.1200000000008</v>
      </c>
      <c r="V179" s="101">
        <v>9112.529999999997</v>
      </c>
      <c r="W179" s="101">
        <f>_xlfn.XLOOKUP(A179,Sheet1!A:A,Sheet1!W:W,0,FALSE)</f>
        <v>6784.83</v>
      </c>
      <c r="X179" s="101">
        <f>_xlfn.XLOOKUP(A179,Sheet1!A:A,Sheet1!X:X,0,FALSE)</f>
        <v>2327.6999999999971</v>
      </c>
      <c r="Y179" s="101">
        <f>_xlfn.XLOOKUP(A179,Sheet1!A:A,Sheet1!Y:Y,0,FALSE)</f>
        <v>9467.5</v>
      </c>
      <c r="Z179" s="101">
        <f t="shared" si="10"/>
        <v>11795.199999999997</v>
      </c>
      <c r="AA179" s="101"/>
      <c r="AB179" s="581">
        <f>_xlfn.XLOOKUP(A179,'Carry Forward 2022'!A:A,'Carry Forward 2022'!B:B,0,FALSE)</f>
        <v>7050</v>
      </c>
      <c r="AC179" s="100">
        <f>_xlfn.XLOOKUP(AB179,'Blade-Export_15-08-2022_cfrdata'!D:D,'Blade-Export_15-08-2022_cfrdata'!BV:BV,0,FALSE)</f>
        <v>2327.6999999999998</v>
      </c>
      <c r="AD179" s="101">
        <f t="shared" si="6"/>
        <v>0</v>
      </c>
    </row>
    <row r="180" spans="1:30" x14ac:dyDescent="0.3">
      <c r="A180" s="100" t="s">
        <v>549</v>
      </c>
      <c r="B180" s="100" t="s">
        <v>899</v>
      </c>
      <c r="C180" s="101">
        <v>5288.2999999999993</v>
      </c>
      <c r="D180" s="101">
        <v>6835</v>
      </c>
      <c r="E180" s="101">
        <v>12123.3</v>
      </c>
      <c r="F180" s="101">
        <v>11066</v>
      </c>
      <c r="G180" s="101">
        <v>1057.2999999999993</v>
      </c>
      <c r="H180" s="101">
        <v>7780</v>
      </c>
      <c r="I180" s="100">
        <v>13785.6</v>
      </c>
      <c r="J180" s="101">
        <v>22622.9</v>
      </c>
      <c r="K180" s="100">
        <v>5347.18</v>
      </c>
      <c r="L180" s="101">
        <v>17275.72</v>
      </c>
      <c r="M180" s="101">
        <v>7948.75</v>
      </c>
      <c r="N180" s="101">
        <v>25224.47</v>
      </c>
      <c r="O180" s="101">
        <v>25224.47</v>
      </c>
      <c r="P180" s="101">
        <v>0</v>
      </c>
      <c r="Q180" s="101" t="e">
        <v>#REF!</v>
      </c>
      <c r="R180" s="101">
        <v>8117.5</v>
      </c>
      <c r="S180" s="101">
        <v>0</v>
      </c>
      <c r="T180" s="101">
        <v>8117.5</v>
      </c>
      <c r="U180" s="101">
        <v>10328.120000000001</v>
      </c>
      <c r="V180" s="101">
        <v>18445.620000000003</v>
      </c>
      <c r="W180" s="101">
        <f>_xlfn.XLOOKUP(A180,Sheet1!A:A,Sheet1!W:W,0,FALSE)</f>
        <v>5857</v>
      </c>
      <c r="X180" s="101">
        <f>_xlfn.XLOOKUP(A180,Sheet1!A:A,Sheet1!X:X,0,FALSE)</f>
        <v>12588.620000000003</v>
      </c>
      <c r="Y180" s="101">
        <f>_xlfn.XLOOKUP(A180,Sheet1!A:A,Sheet1!Y:Y,0,FALSE)</f>
        <v>10125.620000000001</v>
      </c>
      <c r="Z180" s="101">
        <f t="shared" si="10"/>
        <v>22714.240000000005</v>
      </c>
      <c r="AA180" s="101"/>
      <c r="AB180" s="581">
        <f>_xlfn.XLOOKUP(A180,'Carry Forward 2022'!A:A,'Carry Forward 2022'!B:B,0,FALSE)</f>
        <v>7006</v>
      </c>
      <c r="AC180" s="100">
        <f>_xlfn.XLOOKUP(AB180,'Blade-Export_15-08-2022_cfrdata'!D:D,'Blade-Export_15-08-2022_cfrdata'!BV:BV,0,FALSE)</f>
        <v>12588.62</v>
      </c>
      <c r="AD180" s="101">
        <f t="shared" si="6"/>
        <v>0</v>
      </c>
    </row>
    <row r="181" spans="1:30" x14ac:dyDescent="0.3">
      <c r="A181" s="100" t="s">
        <v>551</v>
      </c>
      <c r="B181" s="100" t="s">
        <v>898</v>
      </c>
      <c r="C181" s="101">
        <v>8926.2999999999993</v>
      </c>
      <c r="D181" s="101">
        <v>8050</v>
      </c>
      <c r="E181" s="101">
        <v>16976.3</v>
      </c>
      <c r="F181" s="101">
        <v>6921.489999999998</v>
      </c>
      <c r="G181" s="101">
        <v>10054.810000000001</v>
      </c>
      <c r="H181" s="101">
        <v>8083.75</v>
      </c>
      <c r="I181" s="100">
        <v>14652.3</v>
      </c>
      <c r="J181" s="101">
        <v>32790.86</v>
      </c>
      <c r="K181" s="100">
        <v>14120</v>
      </c>
      <c r="L181" s="101">
        <v>18670.86</v>
      </c>
      <c r="M181" s="101">
        <v>8455</v>
      </c>
      <c r="N181" s="101">
        <v>27125.86</v>
      </c>
      <c r="O181" s="101">
        <v>27125.859999999997</v>
      </c>
      <c r="P181" s="101">
        <v>0</v>
      </c>
      <c r="Q181" s="101" t="e">
        <v>#REF!</v>
      </c>
      <c r="R181" s="101">
        <v>8522.5</v>
      </c>
      <c r="S181" s="101">
        <v>0</v>
      </c>
      <c r="T181" s="101">
        <v>8522.5</v>
      </c>
      <c r="U181" s="101">
        <v>9923.1200000000008</v>
      </c>
      <c r="V181" s="101">
        <v>18445.620000000003</v>
      </c>
      <c r="W181" s="101">
        <f>_xlfn.XLOOKUP(A181,Sheet1!A:A,Sheet1!W:W,0,FALSE)</f>
        <v>10716.4</v>
      </c>
      <c r="X181" s="101">
        <f>_xlfn.XLOOKUP(A181,Sheet1!A:A,Sheet1!X:X,0,FALSE)</f>
        <v>7729.220000000003</v>
      </c>
      <c r="Y181" s="101">
        <f>_xlfn.XLOOKUP(A181,Sheet1!A:A,Sheet1!Y:Y,0,FALSE)</f>
        <v>0</v>
      </c>
      <c r="Z181" s="101">
        <f t="shared" si="10"/>
        <v>7729.220000000003</v>
      </c>
      <c r="AA181" s="101"/>
      <c r="AB181" s="581">
        <f>_xlfn.XLOOKUP(A181,'Carry Forward 2022'!A:A,'Carry Forward 2022'!B:B,0,FALSE)</f>
        <v>7026</v>
      </c>
      <c r="AC181" s="100">
        <f>_xlfn.XLOOKUP(AB181,'Blade-Export_15-08-2022_cfrdata'!D:D,'Blade-Export_15-08-2022_cfrdata'!BV:BV,0,FALSE)</f>
        <v>7729.22</v>
      </c>
      <c r="AD181" s="101">
        <f t="shared" si="6"/>
        <v>0</v>
      </c>
    </row>
    <row r="182" spans="1:30" x14ac:dyDescent="0.3">
      <c r="A182" s="100" t="s">
        <v>555</v>
      </c>
      <c r="B182" s="100" t="s">
        <v>897</v>
      </c>
      <c r="C182" s="101">
        <v>37541.129999999997</v>
      </c>
      <c r="D182" s="101">
        <v>7638.25</v>
      </c>
      <c r="E182" s="101">
        <v>45179.38</v>
      </c>
      <c r="F182" s="101">
        <v>11115.96</v>
      </c>
      <c r="G182" s="101">
        <v>34063.42</v>
      </c>
      <c r="H182" s="101">
        <v>8083.75</v>
      </c>
      <c r="I182" s="100">
        <v>14652.3</v>
      </c>
      <c r="J182" s="101">
        <v>56799.47</v>
      </c>
      <c r="K182" s="100">
        <v>6981</v>
      </c>
      <c r="L182" s="101">
        <v>49818.47</v>
      </c>
      <c r="M182" s="101">
        <v>8036.5</v>
      </c>
      <c r="N182" s="101">
        <v>57854.97</v>
      </c>
      <c r="O182" s="117">
        <v>3888</v>
      </c>
      <c r="P182" s="101">
        <v>53966.97</v>
      </c>
      <c r="Q182" s="101" t="e">
        <v>#REF!</v>
      </c>
      <c r="R182" s="101">
        <v>61949.47</v>
      </c>
      <c r="S182" s="101">
        <v>0</v>
      </c>
      <c r="T182" s="101">
        <v>61949.47</v>
      </c>
      <c r="U182" s="101">
        <v>9720.6200000000008</v>
      </c>
      <c r="V182" s="101">
        <v>71670.09</v>
      </c>
      <c r="W182" s="101">
        <f>_xlfn.XLOOKUP(A182,Sheet1!A:A,Sheet1!W:W,0,FALSE)</f>
        <v>0</v>
      </c>
      <c r="X182" s="101">
        <f>_xlfn.XLOOKUP(A182,Sheet1!A:A,Sheet1!X:X,0,FALSE)</f>
        <v>71670.09</v>
      </c>
      <c r="Y182" s="101">
        <f>_xlfn.XLOOKUP(A182,Sheet1!A:A,Sheet1!Y:Y,0,FALSE)</f>
        <v>9416.8799999999992</v>
      </c>
      <c r="Z182" s="101">
        <f t="shared" si="10"/>
        <v>81086.97</v>
      </c>
      <c r="AA182" s="101"/>
      <c r="AB182" s="581">
        <f>_xlfn.XLOOKUP(A182,'Carry Forward 2022'!A:A,'Carry Forward 2022'!B:B,0,FALSE)</f>
        <v>7060</v>
      </c>
      <c r="AC182" s="100">
        <f>_xlfn.XLOOKUP(AB182,'Blade-Export_15-08-2022_cfrdata'!D:D,'Blade-Export_15-08-2022_cfrdata'!BV:BV,0,FALSE)</f>
        <v>71670.09</v>
      </c>
      <c r="AD182" s="101">
        <f t="shared" si="6"/>
        <v>0</v>
      </c>
    </row>
    <row r="183" spans="1:30" x14ac:dyDescent="0.3">
      <c r="A183" s="100" t="s">
        <v>557</v>
      </c>
      <c r="B183" s="100" t="s">
        <v>896</v>
      </c>
      <c r="C183" s="101">
        <v>2179.3499999999985</v>
      </c>
      <c r="D183" s="101">
        <v>6970</v>
      </c>
      <c r="E183" s="101">
        <v>9149.3499999999985</v>
      </c>
      <c r="F183" s="101">
        <v>8508.24</v>
      </c>
      <c r="G183" s="101">
        <v>641.10999999999876</v>
      </c>
      <c r="H183" s="101">
        <v>6936.25</v>
      </c>
      <c r="I183" s="100">
        <v>11378.1</v>
      </c>
      <c r="J183" s="101">
        <v>18955.46</v>
      </c>
      <c r="K183" s="100">
        <v>18955</v>
      </c>
      <c r="L183" s="101">
        <v>0.45999999999912689</v>
      </c>
      <c r="M183" s="101">
        <v>7847.5</v>
      </c>
      <c r="N183" s="101">
        <v>7847.9599999999991</v>
      </c>
      <c r="O183" s="101">
        <v>3480</v>
      </c>
      <c r="P183" s="101">
        <v>4367.9599999999991</v>
      </c>
      <c r="Q183" s="101" t="e">
        <v>#REF!</v>
      </c>
      <c r="R183" s="101">
        <v>12316.71</v>
      </c>
      <c r="S183" s="101">
        <v>0</v>
      </c>
      <c r="T183" s="101">
        <v>12316.71</v>
      </c>
      <c r="U183" s="101">
        <v>10024.379999999999</v>
      </c>
      <c r="V183" s="101">
        <v>22341.089999999997</v>
      </c>
      <c r="W183" s="101">
        <f>_xlfn.XLOOKUP(A183,Sheet1!A:A,Sheet1!W:W,0,FALSE)</f>
        <v>0</v>
      </c>
      <c r="X183" s="101">
        <f>_xlfn.XLOOKUP(A183,Sheet1!A:A,Sheet1!X:X,0,FALSE)</f>
        <v>22341.089999999997</v>
      </c>
      <c r="Y183" s="101">
        <f>_xlfn.XLOOKUP(A183,Sheet1!A:A,Sheet1!Y:Y,0,FALSE)</f>
        <v>10075</v>
      </c>
      <c r="Z183" s="101">
        <f t="shared" si="10"/>
        <v>32416.089999999997</v>
      </c>
      <c r="AA183" s="101"/>
      <c r="AB183" s="581">
        <f>_xlfn.XLOOKUP(A183,'Carry Forward 2022'!A:A,'Carry Forward 2022'!B:B,0,FALSE)</f>
        <v>7062</v>
      </c>
      <c r="AC183" s="100">
        <f>_xlfn.XLOOKUP(AB183,'Blade-Export_15-08-2022_cfrdata'!D:D,'Blade-Export_15-08-2022_cfrdata'!BV:BV,0,FALSE)</f>
        <v>22341.09</v>
      </c>
      <c r="AD183" s="101">
        <f t="shared" si="6"/>
        <v>0</v>
      </c>
    </row>
    <row r="184" spans="1:30" x14ac:dyDescent="0.3">
      <c r="A184" s="100" t="s">
        <v>559</v>
      </c>
      <c r="B184" s="100" t="s">
        <v>895</v>
      </c>
      <c r="C184" s="101">
        <v>0.25</v>
      </c>
      <c r="D184" s="101">
        <v>5856.25</v>
      </c>
      <c r="E184" s="101">
        <v>5856.5</v>
      </c>
      <c r="F184" s="101"/>
      <c r="G184" s="101">
        <v>5856.5</v>
      </c>
      <c r="H184" s="101">
        <v>5842.75</v>
      </c>
      <c r="I184" s="100">
        <v>8257.98</v>
      </c>
      <c r="J184" s="101">
        <v>19957.23</v>
      </c>
      <c r="L184" s="101">
        <v>19957.23</v>
      </c>
      <c r="M184" s="101">
        <v>6058.75</v>
      </c>
      <c r="N184" s="101">
        <v>26015.98</v>
      </c>
      <c r="O184" s="101">
        <v>26015.98</v>
      </c>
      <c r="P184" s="101">
        <v>0</v>
      </c>
      <c r="Q184" s="101" t="e">
        <v>#REF!</v>
      </c>
      <c r="R184" s="101">
        <v>5998</v>
      </c>
      <c r="S184" s="101">
        <v>5998</v>
      </c>
      <c r="T184" s="101">
        <v>0</v>
      </c>
      <c r="U184" s="101">
        <v>7047.62</v>
      </c>
      <c r="V184" s="101">
        <v>7047.62</v>
      </c>
      <c r="W184" s="101">
        <f>_xlfn.XLOOKUP(A184,Sheet1!A:A,Sheet1!W:W,0,FALSE)</f>
        <v>2061</v>
      </c>
      <c r="X184" s="101">
        <f>_xlfn.XLOOKUP(A184,Sheet1!A:A,Sheet1!X:X,0,FALSE)</f>
        <v>4986.62</v>
      </c>
      <c r="Y184" s="101">
        <f>_xlfn.XLOOKUP(A184,Sheet1!A:A,Sheet1!Y:Y,0,FALSE)</f>
        <v>6642.62</v>
      </c>
      <c r="Z184" s="101">
        <f t="shared" si="10"/>
        <v>11629.24</v>
      </c>
      <c r="AA184" s="101"/>
      <c r="AB184" s="581">
        <f>_xlfn.XLOOKUP(A184,'Carry Forward 2022'!A:A,'Carry Forward 2022'!B:B,0,FALSE)</f>
        <v>7012</v>
      </c>
      <c r="AC184" s="100">
        <f>_xlfn.XLOOKUP(AB184,'Blade-Export_15-08-2022_cfrdata'!D:D,'Blade-Export_15-08-2022_cfrdata'!BV:BV,0,FALSE)</f>
        <v>4986.62</v>
      </c>
      <c r="AD184" s="101">
        <f t="shared" si="6"/>
        <v>0</v>
      </c>
    </row>
    <row r="185" spans="1:30" x14ac:dyDescent="0.3">
      <c r="A185" s="100" t="s">
        <v>553</v>
      </c>
      <c r="B185" s="100" t="s">
        <v>894</v>
      </c>
      <c r="C185" s="101">
        <v>0.6499999999996362</v>
      </c>
      <c r="D185" s="101">
        <v>7172.5</v>
      </c>
      <c r="E185" s="101">
        <v>7173.15</v>
      </c>
      <c r="F185" s="101"/>
      <c r="G185" s="101">
        <v>7173.15</v>
      </c>
      <c r="H185" s="101">
        <v>7510</v>
      </c>
      <c r="I185" s="100">
        <v>13015.2</v>
      </c>
      <c r="J185" s="101">
        <v>27698.35</v>
      </c>
      <c r="K185" s="100">
        <v>9656</v>
      </c>
      <c r="L185" s="101">
        <v>18042.349999999999</v>
      </c>
      <c r="M185" s="101">
        <v>7678.75</v>
      </c>
      <c r="N185" s="101">
        <v>25721.1</v>
      </c>
      <c r="O185" s="101">
        <v>7046.59</v>
      </c>
      <c r="P185" s="101">
        <v>18674.509999999998</v>
      </c>
      <c r="Q185" s="101" t="e">
        <v>#REF!</v>
      </c>
      <c r="R185" s="101">
        <v>26555.759999999998</v>
      </c>
      <c r="S185" s="101">
        <v>0</v>
      </c>
      <c r="T185" s="101">
        <v>26555.759999999998</v>
      </c>
      <c r="U185" s="101">
        <v>9568.75</v>
      </c>
      <c r="V185" s="101">
        <v>36124.509999999995</v>
      </c>
      <c r="W185" s="101">
        <f>_xlfn.XLOOKUP(A185,Sheet1!A:A,Sheet1!W:W,0,FALSE)</f>
        <v>24034.629999999997</v>
      </c>
      <c r="X185" s="101">
        <f>_xlfn.XLOOKUP(A185,Sheet1!A:A,Sheet1!X:X,0,FALSE)</f>
        <v>12089.879999999997</v>
      </c>
      <c r="Y185" s="101">
        <f>_xlfn.XLOOKUP(A185,Sheet1!A:A,Sheet1!Y:Y,0,FALSE)</f>
        <v>9492.81</v>
      </c>
      <c r="Z185" s="101">
        <f t="shared" si="10"/>
        <v>21582.689999999995</v>
      </c>
      <c r="AA185" s="101"/>
      <c r="AB185" s="581">
        <f>_xlfn.XLOOKUP(A185,'Carry Forward 2022'!A:A,'Carry Forward 2022'!B:B,0,FALSE)</f>
        <v>7053</v>
      </c>
      <c r="AC185" s="100">
        <f>_xlfn.XLOOKUP(AB185,'Blade-Export_15-08-2022_cfrdata'!D:D,'Blade-Export_15-08-2022_cfrdata'!BV:BV,0,FALSE)</f>
        <v>12089.88</v>
      </c>
      <c r="AD185" s="101">
        <f t="shared" si="6"/>
        <v>0</v>
      </c>
    </row>
    <row r="186" spans="1:30" x14ac:dyDescent="0.3">
      <c r="A186" s="100" t="s">
        <v>563</v>
      </c>
      <c r="B186" s="100" t="s">
        <v>893</v>
      </c>
      <c r="C186" s="101">
        <v>-0.23999999999796273</v>
      </c>
      <c r="D186" s="101">
        <v>7010.5</v>
      </c>
      <c r="E186" s="101">
        <v>7010.260000000002</v>
      </c>
      <c r="F186" s="101">
        <v>5518.43</v>
      </c>
      <c r="G186" s="101">
        <v>1491.8300000000017</v>
      </c>
      <c r="H186" s="101">
        <v>7840.75</v>
      </c>
      <c r="I186" s="100">
        <v>13958.94</v>
      </c>
      <c r="J186" s="101">
        <v>23291.520000000004</v>
      </c>
      <c r="K186" s="100">
        <v>0</v>
      </c>
      <c r="L186" s="101">
        <v>23291.520000000004</v>
      </c>
      <c r="M186" s="101">
        <v>9008.5</v>
      </c>
      <c r="N186" s="101">
        <v>32300.020000000004</v>
      </c>
      <c r="O186" s="101">
        <v>4340</v>
      </c>
      <c r="P186" s="101">
        <v>27960.020000000004</v>
      </c>
      <c r="Q186" s="101" t="e">
        <v>#REF!</v>
      </c>
      <c r="R186" s="101">
        <v>37542.270000000004</v>
      </c>
      <c r="S186" s="101">
        <v>19845</v>
      </c>
      <c r="T186" s="101">
        <v>17697.270000000004</v>
      </c>
      <c r="U186" s="101">
        <v>13699.75</v>
      </c>
      <c r="V186" s="101">
        <v>31397.020000000004</v>
      </c>
      <c r="W186" s="101">
        <f>_xlfn.XLOOKUP(A186,Sheet1!A:A,Sheet1!W:W,0,FALSE)</f>
        <v>11440.85</v>
      </c>
      <c r="X186" s="101">
        <f>_xlfn.XLOOKUP(A186,Sheet1!A:A,Sheet1!X:X,0,FALSE)</f>
        <v>19956.170000000006</v>
      </c>
      <c r="Y186" s="101">
        <f>_xlfn.XLOOKUP(A186,Sheet1!A:A,Sheet1!Y:Y,0,FALSE)</f>
        <v>14732.5</v>
      </c>
      <c r="Z186" s="101">
        <f t="shared" si="10"/>
        <v>34688.670000000006</v>
      </c>
      <c r="AA186" s="101"/>
      <c r="AB186" s="581">
        <f>_xlfn.XLOOKUP(A186,'Carry Forward 2022'!A:A,'Carry Forward 2022'!B:B,0,FALSE)</f>
        <v>7045</v>
      </c>
      <c r="AC186" s="100">
        <f>_xlfn.XLOOKUP(AB186,'Blade-Export_15-08-2022_cfrdata'!D:D,'Blade-Export_15-08-2022_cfrdata'!BV:BV,0,FALSE)</f>
        <v>19956.169999999998</v>
      </c>
      <c r="AD186" s="101">
        <f t="shared" si="6"/>
        <v>0</v>
      </c>
    </row>
    <row r="187" spans="1:30" x14ac:dyDescent="0.3">
      <c r="A187" s="100" t="s">
        <v>565</v>
      </c>
      <c r="B187" s="100" t="s">
        <v>892</v>
      </c>
      <c r="C187" s="101">
        <v>14996.859999999999</v>
      </c>
      <c r="D187" s="101">
        <v>6470.5</v>
      </c>
      <c r="E187" s="101">
        <v>21467.360000000001</v>
      </c>
      <c r="F187" s="101">
        <v>8132.37</v>
      </c>
      <c r="G187" s="101">
        <v>13334.990000000002</v>
      </c>
      <c r="H187" s="101">
        <v>6382.75</v>
      </c>
      <c r="I187" s="100">
        <v>9798.7800000000007</v>
      </c>
      <c r="J187" s="101">
        <v>29516.520000000004</v>
      </c>
      <c r="K187" s="100">
        <v>17534.88</v>
      </c>
      <c r="L187" s="101">
        <v>11981.640000000003</v>
      </c>
      <c r="M187" s="101">
        <v>6747.25</v>
      </c>
      <c r="N187" s="101">
        <v>18728.890000000003</v>
      </c>
      <c r="O187" s="101">
        <v>8677.94</v>
      </c>
      <c r="P187" s="101">
        <v>10050.950000000003</v>
      </c>
      <c r="Q187" s="101" t="e">
        <v>#REF!</v>
      </c>
      <c r="R187" s="101">
        <v>16973.700000000004</v>
      </c>
      <c r="S187" s="101">
        <v>2772.19</v>
      </c>
      <c r="T187" s="101">
        <v>14201.510000000004</v>
      </c>
      <c r="U187" s="101">
        <v>8313.25</v>
      </c>
      <c r="V187" s="101">
        <v>22514.760000000002</v>
      </c>
      <c r="W187" s="101">
        <f>_xlfn.XLOOKUP(A187,Sheet1!A:A,Sheet1!W:W,0,FALSE)</f>
        <v>12445.02</v>
      </c>
      <c r="X187" s="101">
        <f>_xlfn.XLOOKUP(A187,Sheet1!A:A,Sheet1!X:X,0,FALSE)</f>
        <v>10069.740000000002</v>
      </c>
      <c r="Y187" s="101">
        <f>_xlfn.XLOOKUP(A187,Sheet1!A:A,Sheet1!Y:Y,0,FALSE)</f>
        <v>8444.8799999999992</v>
      </c>
      <c r="Z187" s="101">
        <f t="shared" si="10"/>
        <v>18514.620000000003</v>
      </c>
      <c r="AA187" s="101"/>
      <c r="AB187" s="581">
        <f>_xlfn.XLOOKUP(A187,'Carry Forward 2022'!A:A,'Carry Forward 2022'!B:B,0,FALSE)</f>
        <v>7034</v>
      </c>
      <c r="AC187" s="100">
        <f>_xlfn.XLOOKUP(AB187,'Blade-Export_15-08-2022_cfrdata'!D:D,'Blade-Export_15-08-2022_cfrdata'!BV:BV,0,FALSE)</f>
        <v>10069.74</v>
      </c>
      <c r="AD187" s="101">
        <f t="shared" si="6"/>
        <v>0</v>
      </c>
    </row>
    <row r="188" spans="1:30" x14ac:dyDescent="0.3">
      <c r="A188" s="100" t="s">
        <v>567</v>
      </c>
      <c r="B188" s="100" t="s">
        <v>891</v>
      </c>
      <c r="C188" s="101">
        <v>0.20000000000436557</v>
      </c>
      <c r="D188" s="101">
        <v>12370</v>
      </c>
      <c r="E188" s="101">
        <v>12370.200000000004</v>
      </c>
      <c r="F188" s="101"/>
      <c r="G188" s="101">
        <v>12370.200000000004</v>
      </c>
      <c r="H188" s="101">
        <v>11796.25</v>
      </c>
      <c r="I188" s="100">
        <v>25245.3</v>
      </c>
      <c r="J188" s="101">
        <v>49411.75</v>
      </c>
      <c r="K188" s="100">
        <v>32190.93</v>
      </c>
      <c r="L188" s="101">
        <v>17220.82</v>
      </c>
      <c r="M188" s="101">
        <v>11323.75</v>
      </c>
      <c r="N188" s="101">
        <v>28544.57</v>
      </c>
      <c r="O188" s="101">
        <v>16838.510000000002</v>
      </c>
      <c r="P188" s="101">
        <v>11706.059999999998</v>
      </c>
      <c r="Q188" s="101">
        <v>11897.5</v>
      </c>
      <c r="R188" s="101">
        <v>23603.559999999998</v>
      </c>
      <c r="S188" s="101">
        <v>11706.06</v>
      </c>
      <c r="T188" s="101">
        <v>11897.499999999998</v>
      </c>
      <c r="U188" s="101"/>
      <c r="V188" s="101">
        <v>11897.499999999998</v>
      </c>
      <c r="W188" s="101">
        <f>_xlfn.XLOOKUP(A188,Sheet1!A:A,Sheet1!W:W,0,FALSE)</f>
        <v>0</v>
      </c>
      <c r="X188" s="101">
        <f>_xlfn.XLOOKUP(A188,Sheet1!A:A,Sheet1!X:X,0,FALSE)</f>
        <v>11897.499999999998</v>
      </c>
      <c r="Y188" s="101">
        <f>_xlfn.XLOOKUP(A188,Sheet1!A:A,Sheet1!Y:Y,0,FALSE)</f>
        <v>0</v>
      </c>
      <c r="Z188" s="101">
        <f t="shared" si="10"/>
        <v>11897.499999999998</v>
      </c>
      <c r="AA188" s="101"/>
      <c r="AB188" s="581">
        <f>_xlfn.XLOOKUP(A188,'Carry Forward 2022'!A:A,'Carry Forward 2022'!B:B,0,FALSE)</f>
        <v>7036</v>
      </c>
      <c r="AC188" s="100">
        <f>_xlfn.XLOOKUP(AB188,'Blade-Export_15-08-2022_cfrdata'!D:D,'Blade-Export_15-08-2022_cfrdata'!BV:BV,0,FALSE)</f>
        <v>0</v>
      </c>
      <c r="AD188" s="101">
        <f t="shared" si="6"/>
        <v>11897.499999999998</v>
      </c>
    </row>
    <row r="189" spans="1:30" x14ac:dyDescent="0.3">
      <c r="A189" s="100" t="s">
        <v>568</v>
      </c>
      <c r="B189" s="100" t="s">
        <v>890</v>
      </c>
      <c r="C189" s="101">
        <v>-0.44999999999708962</v>
      </c>
      <c r="D189" s="101">
        <v>17095</v>
      </c>
      <c r="E189" s="101">
        <v>17094.550000000003</v>
      </c>
      <c r="F189" s="101">
        <v>17094.55</v>
      </c>
      <c r="G189" s="101">
        <v>0</v>
      </c>
      <c r="H189" s="101">
        <v>17162.5</v>
      </c>
      <c r="I189" s="100">
        <v>40557</v>
      </c>
      <c r="J189" s="101">
        <v>57719.5</v>
      </c>
      <c r="K189" s="100">
        <v>17028</v>
      </c>
      <c r="L189" s="101">
        <v>40691.5</v>
      </c>
      <c r="M189" s="101">
        <v>16791.25</v>
      </c>
      <c r="N189" s="101">
        <v>57482.75</v>
      </c>
      <c r="O189" s="101">
        <v>17028</v>
      </c>
      <c r="P189" s="101">
        <v>40454.75</v>
      </c>
      <c r="Q189" s="101" t="e">
        <v>#REF!</v>
      </c>
      <c r="R189" s="101">
        <v>57043.5</v>
      </c>
      <c r="S189" s="101">
        <v>57043</v>
      </c>
      <c r="T189" s="101">
        <v>0.5</v>
      </c>
      <c r="U189" s="101">
        <v>23035</v>
      </c>
      <c r="V189" s="101">
        <v>23035.5</v>
      </c>
      <c r="W189" s="101">
        <f>_xlfn.XLOOKUP(A189,Sheet1!A:A,Sheet1!W:W,0,FALSE)</f>
        <v>0</v>
      </c>
      <c r="X189" s="101">
        <f>_xlfn.XLOOKUP(A189,Sheet1!A:A,Sheet1!X:X,0,FALSE)</f>
        <v>23035.5</v>
      </c>
      <c r="Y189" s="101">
        <f>_xlfn.XLOOKUP(A189,Sheet1!A:A,Sheet1!Y:Y,0,FALSE)</f>
        <v>23465.31</v>
      </c>
      <c r="Z189" s="101">
        <f t="shared" si="10"/>
        <v>46500.81</v>
      </c>
      <c r="AA189" s="101"/>
      <c r="AB189" s="581">
        <f>_xlfn.XLOOKUP(A189,'Carry Forward 2022'!A:A,'Carry Forward 2022'!B:B,0,FALSE)</f>
        <v>7033</v>
      </c>
      <c r="AC189" s="100">
        <f>_xlfn.XLOOKUP(AB189,'Blade-Export_15-08-2022_cfrdata'!D:D,'Blade-Export_15-08-2022_cfrdata'!BV:BV,0,FALSE)</f>
        <v>23035.5</v>
      </c>
      <c r="AD189" s="101">
        <f t="shared" si="6"/>
        <v>0</v>
      </c>
    </row>
    <row r="190" spans="1:30" x14ac:dyDescent="0.3">
      <c r="A190" s="100" t="s">
        <v>570</v>
      </c>
      <c r="B190" s="100" t="s">
        <v>889</v>
      </c>
      <c r="C190" s="101">
        <v>0</v>
      </c>
      <c r="D190" s="101">
        <v>6733.75</v>
      </c>
      <c r="E190" s="101">
        <v>6733.75</v>
      </c>
      <c r="F190" s="101">
        <v>6733.75</v>
      </c>
      <c r="G190" s="101">
        <v>0</v>
      </c>
      <c r="H190" s="101">
        <v>6632.5</v>
      </c>
      <c r="I190" s="100">
        <v>10511.4</v>
      </c>
      <c r="J190" s="101">
        <v>17143.900000000001</v>
      </c>
      <c r="K190" s="100">
        <v>0</v>
      </c>
      <c r="L190" s="101">
        <v>17143.900000000001</v>
      </c>
      <c r="M190" s="101">
        <v>6733.75</v>
      </c>
      <c r="N190" s="101">
        <v>23877.65</v>
      </c>
      <c r="O190" s="101">
        <v>0</v>
      </c>
      <c r="P190" s="101">
        <v>23877.65</v>
      </c>
      <c r="Q190" s="101" t="e">
        <v>#REF!</v>
      </c>
      <c r="R190" s="101">
        <v>30071.4</v>
      </c>
      <c r="S190" s="101">
        <v>0</v>
      </c>
      <c r="T190" s="101">
        <v>30071.4</v>
      </c>
      <c r="U190" s="101">
        <v>7088.12</v>
      </c>
      <c r="V190" s="101">
        <v>37159.520000000004</v>
      </c>
      <c r="W190" s="101">
        <f>_xlfn.XLOOKUP(A190,Sheet1!A:A,Sheet1!W:W,0,FALSE)</f>
        <v>0</v>
      </c>
      <c r="X190" s="101">
        <f>_xlfn.XLOOKUP(A190,Sheet1!A:A,Sheet1!X:X,0,FALSE)</f>
        <v>37159.520000000004</v>
      </c>
      <c r="Y190" s="101">
        <f>_xlfn.XLOOKUP(A190,Sheet1!A:A,Sheet1!Y:Y,0,FALSE)</f>
        <v>0</v>
      </c>
      <c r="Z190" s="101">
        <f t="shared" si="10"/>
        <v>37159.520000000004</v>
      </c>
      <c r="AA190" s="101"/>
      <c r="AB190" s="581">
        <f>_xlfn.XLOOKUP(A190,'Carry Forward 2022'!A:A,'Carry Forward 2022'!B:B,0,FALSE)</f>
        <v>7037</v>
      </c>
      <c r="AC190" s="100">
        <f>_xlfn.XLOOKUP(AB190,'Blade-Export_15-08-2022_cfrdata'!D:D,'Blade-Export_15-08-2022_cfrdata'!BV:BV,0,FALSE)</f>
        <v>37159.519999999997</v>
      </c>
      <c r="AD190" s="101">
        <f t="shared" si="6"/>
        <v>0</v>
      </c>
    </row>
    <row r="191" spans="1:30" x14ac:dyDescent="0.3">
      <c r="A191" s="100" t="s">
        <v>572</v>
      </c>
      <c r="B191" s="100" t="s">
        <v>888</v>
      </c>
      <c r="C191" s="101">
        <v>8666.25</v>
      </c>
      <c r="D191" s="101">
        <v>7105</v>
      </c>
      <c r="E191" s="101">
        <v>15771.25</v>
      </c>
      <c r="F191" s="101"/>
      <c r="G191" s="101">
        <v>15771.25</v>
      </c>
      <c r="H191" s="101">
        <v>7678.75</v>
      </c>
      <c r="I191" s="100">
        <v>13496.7</v>
      </c>
      <c r="J191" s="101">
        <v>36946.699999999997</v>
      </c>
      <c r="K191" s="100">
        <v>12731.69</v>
      </c>
      <c r="L191" s="101">
        <v>24215.009999999995</v>
      </c>
      <c r="M191" s="101">
        <v>7240</v>
      </c>
      <c r="N191" s="101">
        <v>31455.009999999995</v>
      </c>
      <c r="O191" s="101">
        <v>5999.3</v>
      </c>
      <c r="P191" s="101">
        <v>25455.709999999995</v>
      </c>
      <c r="Q191" s="101" t="e">
        <v>#REF!</v>
      </c>
      <c r="R191" s="101">
        <v>32661.959999999995</v>
      </c>
      <c r="S191" s="101">
        <v>4719.49</v>
      </c>
      <c r="T191" s="101">
        <v>27942.469999999994</v>
      </c>
      <c r="U191" s="101">
        <v>8860</v>
      </c>
      <c r="V191" s="101">
        <v>36802.469999999994</v>
      </c>
      <c r="W191" s="101">
        <f>_xlfn.XLOOKUP(A191,Sheet1!A:A,Sheet1!W:W,0,FALSE)</f>
        <v>13525.479999999998</v>
      </c>
      <c r="X191" s="101">
        <f>_xlfn.XLOOKUP(A191,Sheet1!A:A,Sheet1!X:X,0,FALSE)</f>
        <v>23276.989999999998</v>
      </c>
      <c r="Y191" s="101">
        <f>_xlfn.XLOOKUP(A191,Sheet1!A:A,Sheet1!Y:Y,0,FALSE)</f>
        <v>8404.3799999999992</v>
      </c>
      <c r="Z191" s="101">
        <f t="shared" si="10"/>
        <v>31681.369999999995</v>
      </c>
      <c r="AA191" s="101"/>
      <c r="AB191" s="581">
        <f>_xlfn.XLOOKUP(A191,'Carry Forward 2022'!A:A,'Carry Forward 2022'!B:B,0,FALSE)</f>
        <v>7047</v>
      </c>
      <c r="AC191" s="100">
        <f>_xlfn.XLOOKUP(AB191,'Blade-Export_15-08-2022_cfrdata'!D:D,'Blade-Export_15-08-2022_cfrdata'!BV:BV,0,FALSE)</f>
        <v>23276.99</v>
      </c>
      <c r="AD191" s="101">
        <f t="shared" si="6"/>
        <v>0</v>
      </c>
    </row>
    <row r="192" spans="1:30" x14ac:dyDescent="0.3">
      <c r="A192" s="100" t="s">
        <v>574</v>
      </c>
      <c r="B192" s="116" t="s">
        <v>887</v>
      </c>
      <c r="C192" s="101">
        <v>-0.3599999999969441</v>
      </c>
      <c r="D192" s="101">
        <v>9184</v>
      </c>
      <c r="E192" s="101">
        <v>9183.6400000000031</v>
      </c>
      <c r="F192" s="101"/>
      <c r="G192" s="101">
        <v>9183.6400000000031</v>
      </c>
      <c r="H192" s="101">
        <v>9859</v>
      </c>
      <c r="I192" s="100">
        <v>19717.68</v>
      </c>
      <c r="J192" s="101">
        <v>38760.320000000007</v>
      </c>
      <c r="L192" s="101">
        <v>38760.320000000007</v>
      </c>
      <c r="M192" s="101">
        <v>10378.75</v>
      </c>
      <c r="N192" s="101">
        <v>49139.070000000007</v>
      </c>
      <c r="O192" s="101">
        <v>19219</v>
      </c>
      <c r="P192" s="101">
        <v>29920.070000000007</v>
      </c>
      <c r="Q192" s="101" t="e">
        <v>#REF!</v>
      </c>
      <c r="R192" s="101">
        <v>40535.070000000007</v>
      </c>
      <c r="S192" s="101">
        <v>40535</v>
      </c>
      <c r="T192" s="101">
        <v>7.0000000006984919E-2</v>
      </c>
      <c r="U192" s="101">
        <v>14935</v>
      </c>
      <c r="V192" s="101">
        <v>14935.070000000007</v>
      </c>
      <c r="W192" s="101">
        <f>_xlfn.XLOOKUP(A192,Sheet1!A:A,Sheet1!W:W,0,FALSE)</f>
        <v>0</v>
      </c>
      <c r="X192" s="101">
        <f>_xlfn.XLOOKUP(A192,Sheet1!A:A,Sheet1!X:X,0,FALSE)</f>
        <v>14935.070000000007</v>
      </c>
      <c r="Y192" s="101">
        <f>_xlfn.XLOOKUP(A192,Sheet1!A:A,Sheet1!Y:Y,0,FALSE)</f>
        <v>15896.88</v>
      </c>
      <c r="Z192" s="101">
        <f t="shared" si="10"/>
        <v>30831.950000000004</v>
      </c>
      <c r="AA192" s="101"/>
      <c r="AB192" s="581">
        <f>_xlfn.XLOOKUP(A192,'Carry Forward 2022'!A:A,'Carry Forward 2022'!B:B,0,FALSE)</f>
        <v>7014</v>
      </c>
      <c r="AC192" s="100">
        <f>_xlfn.XLOOKUP(AB192,'Blade-Export_15-08-2022_cfrdata'!D:D,'Blade-Export_15-08-2022_cfrdata'!BV:BV,0,FALSE)</f>
        <v>14935.07</v>
      </c>
      <c r="AD192" s="101">
        <f t="shared" si="6"/>
        <v>0</v>
      </c>
    </row>
    <row r="193" spans="1:30" ht="15" thickBot="1" x14ac:dyDescent="0.35">
      <c r="A193" s="100" t="s">
        <v>576</v>
      </c>
      <c r="B193" s="116" t="s">
        <v>886</v>
      </c>
      <c r="C193" s="101">
        <v>11034.190000000002</v>
      </c>
      <c r="D193" s="101">
        <v>11465.5</v>
      </c>
      <c r="E193" s="101">
        <v>22499.690000000002</v>
      </c>
      <c r="F193" s="101"/>
      <c r="G193" s="101">
        <v>22499.690000000002</v>
      </c>
      <c r="H193" s="101">
        <v>11391.25</v>
      </c>
      <c r="I193" s="100">
        <v>24089.7</v>
      </c>
      <c r="J193" s="101">
        <v>57980.639999999999</v>
      </c>
      <c r="L193" s="101">
        <v>57980.639999999999</v>
      </c>
      <c r="M193" s="101">
        <v>11843.5</v>
      </c>
      <c r="N193" s="101">
        <v>69824.14</v>
      </c>
      <c r="O193" s="101">
        <v>0</v>
      </c>
      <c r="P193" s="101">
        <v>69824.14</v>
      </c>
      <c r="Q193" s="101" t="e">
        <v>#REF!</v>
      </c>
      <c r="R193" s="101">
        <v>81039.89</v>
      </c>
      <c r="S193" s="101">
        <v>69824.14</v>
      </c>
      <c r="T193" s="101">
        <v>11215.75</v>
      </c>
      <c r="U193" s="101">
        <v>15213.44</v>
      </c>
      <c r="V193" s="101">
        <v>26429.190000000002</v>
      </c>
      <c r="W193" s="101">
        <f>_xlfn.XLOOKUP(A193,Sheet1!A:A,Sheet1!W:W,0,FALSE)</f>
        <v>0</v>
      </c>
      <c r="X193" s="101">
        <f>_xlfn.XLOOKUP(A193,Sheet1!A:A,Sheet1!X:X,0,FALSE)</f>
        <v>26429.190000000002</v>
      </c>
      <c r="Y193" s="101">
        <f>_xlfn.XLOOKUP(A193,Sheet1!A:A,Sheet1!Y:Y,0,FALSE)</f>
        <v>15218.5</v>
      </c>
      <c r="Z193" s="101">
        <f t="shared" si="10"/>
        <v>41647.69</v>
      </c>
      <c r="AA193" s="101"/>
      <c r="AB193" s="581">
        <f>_xlfn.XLOOKUP(A193,'Carry Forward 2022'!A:A,'Carry Forward 2022'!B:B,0,FALSE)</f>
        <v>7009</v>
      </c>
      <c r="AC193" s="100">
        <f>_xlfn.XLOOKUP(AB193,'Blade-Export_15-08-2022_cfrdata'!D:D,'Blade-Export_15-08-2022_cfrdata'!BV:BV,0,FALSE)</f>
        <v>26429.19</v>
      </c>
      <c r="AD193" s="101">
        <f t="shared" si="6"/>
        <v>0</v>
      </c>
    </row>
    <row r="194" spans="1:30" ht="15" thickBot="1" x14ac:dyDescent="0.35">
      <c r="A194" s="115"/>
      <c r="B194" s="114" t="s">
        <v>885</v>
      </c>
      <c r="C194" s="113">
        <v>150863.25</v>
      </c>
      <c r="D194" s="113">
        <v>161776.25</v>
      </c>
      <c r="E194" s="113">
        <v>312639.50000000006</v>
      </c>
      <c r="F194" s="113">
        <v>119037.37999999999</v>
      </c>
      <c r="G194" s="113">
        <v>193602.12000000002</v>
      </c>
      <c r="H194" s="113">
        <v>167095.25</v>
      </c>
      <c r="I194" s="113">
        <v>308511.78000000003</v>
      </c>
      <c r="J194" s="113">
        <v>669209.15</v>
      </c>
      <c r="K194" s="113">
        <v>143179.62</v>
      </c>
      <c r="L194" s="113">
        <v>526029.53</v>
      </c>
      <c r="M194" s="113">
        <v>170868.5</v>
      </c>
      <c r="N194" s="113">
        <v>696898.03000000014</v>
      </c>
      <c r="O194" s="113">
        <v>271391.7</v>
      </c>
      <c r="P194" s="113">
        <v>425506.33000000007</v>
      </c>
      <c r="Q194" s="113" t="e">
        <v>#REF!</v>
      </c>
      <c r="R194" s="113">
        <v>597529.08000000007</v>
      </c>
      <c r="S194" s="113">
        <v>235710.34000000003</v>
      </c>
      <c r="T194" s="113">
        <v>361818.74000000005</v>
      </c>
      <c r="U194" s="113">
        <v>204567.22999999998</v>
      </c>
      <c r="V194" s="113">
        <v>566385.97</v>
      </c>
      <c r="W194" s="113">
        <f>SUM(W174:W193)</f>
        <v>109473</v>
      </c>
      <c r="X194" s="113">
        <f>SUM(X174:X193)</f>
        <v>456912.97000000003</v>
      </c>
      <c r="Y194" s="113">
        <f t="shared" ref="Y194:Z194" si="11">SUM(Y174:Y193)</f>
        <v>190218.88</v>
      </c>
      <c r="Z194" s="113">
        <f t="shared" si="11"/>
        <v>647131.84999999986</v>
      </c>
      <c r="AA194" s="112">
        <v>0</v>
      </c>
      <c r="AB194" s="112"/>
    </row>
    <row r="195" spans="1:30" x14ac:dyDescent="0.3">
      <c r="C195" s="101"/>
      <c r="D195" s="101"/>
      <c r="E195" s="101">
        <v>0</v>
      </c>
      <c r="F195" s="101"/>
      <c r="G195" s="101">
        <v>0</v>
      </c>
      <c r="H195" s="101"/>
      <c r="I195" s="101"/>
      <c r="J195" s="101"/>
      <c r="K195" s="101"/>
      <c r="L195" s="101"/>
      <c r="M195" s="101"/>
      <c r="N195" s="101"/>
      <c r="O195" s="101"/>
      <c r="P195" s="101"/>
      <c r="Q195" s="101"/>
      <c r="R195" s="101"/>
      <c r="S195" s="101"/>
      <c r="T195" s="101"/>
      <c r="U195" s="101"/>
      <c r="V195" s="101"/>
      <c r="W195" s="101"/>
      <c r="X195" s="101"/>
      <c r="Y195" s="101"/>
      <c r="Z195" s="101"/>
      <c r="AA195" s="101">
        <v>0</v>
      </c>
      <c r="AB195" s="101"/>
    </row>
    <row r="196" spans="1:30" x14ac:dyDescent="0.3">
      <c r="B196" s="109" t="s">
        <v>884</v>
      </c>
      <c r="C196" s="101">
        <v>1983394.7200000002</v>
      </c>
      <c r="D196" s="101">
        <v>1626574.85</v>
      </c>
      <c r="E196" s="101">
        <v>3609969.57</v>
      </c>
      <c r="F196" s="101">
        <v>1655201.0199999998</v>
      </c>
      <c r="G196" s="101">
        <v>1954768.5500000007</v>
      </c>
      <c r="H196" s="101">
        <v>1639953.64</v>
      </c>
      <c r="I196" s="101">
        <v>3114827.9699999997</v>
      </c>
      <c r="J196" s="101">
        <v>6709550.1600000001</v>
      </c>
      <c r="K196" s="101">
        <v>1655459.5100000002</v>
      </c>
      <c r="L196" s="101">
        <v>5054090.6500000013</v>
      </c>
      <c r="M196" s="101">
        <v>1657915.4900000002</v>
      </c>
      <c r="N196" s="101">
        <v>6712006.1400000015</v>
      </c>
      <c r="O196" s="101">
        <v>3082632.2700000005</v>
      </c>
      <c r="P196" s="101">
        <v>3629373.8699999987</v>
      </c>
      <c r="Q196" s="101" t="e">
        <v>#REF!</v>
      </c>
      <c r="R196" s="101">
        <v>5228670.379999999</v>
      </c>
      <c r="S196" s="101">
        <v>2220141.9600000004</v>
      </c>
      <c r="T196" s="101">
        <v>3205970.8599999994</v>
      </c>
      <c r="U196" s="101">
        <v>1625490.12</v>
      </c>
      <c r="V196" s="101">
        <f>SUM(V2:V194)/2</f>
        <v>4634018.5399999982</v>
      </c>
      <c r="W196" s="101">
        <f t="shared" ref="W196:X196" si="12">SUM(W2:W194)/2</f>
        <v>956286.94999999984</v>
      </c>
      <c r="X196" s="101">
        <f t="shared" si="12"/>
        <v>3649319.0899999989</v>
      </c>
      <c r="Y196" s="101"/>
      <c r="Z196" s="101"/>
      <c r="AA196" s="101"/>
      <c r="AB196" s="101"/>
    </row>
    <row r="197" spans="1:30" x14ac:dyDescent="0.3">
      <c r="B197" s="109" t="s">
        <v>883</v>
      </c>
      <c r="C197" s="101"/>
      <c r="D197" s="101"/>
      <c r="E197" s="101"/>
      <c r="F197" s="101"/>
      <c r="G197" s="101"/>
      <c r="H197" s="101"/>
      <c r="I197" s="101"/>
      <c r="J197" s="101"/>
      <c r="K197" s="101"/>
      <c r="L197" s="101"/>
      <c r="M197" s="101"/>
      <c r="N197" s="101"/>
      <c r="O197" s="101"/>
      <c r="P197" s="101"/>
      <c r="Q197" s="101"/>
      <c r="R197" s="101"/>
      <c r="S197" s="101">
        <v>18341.63</v>
      </c>
      <c r="T197" s="101"/>
      <c r="U197" s="100">
        <v>34222.619999999995</v>
      </c>
      <c r="V197" s="100" t="s">
        <v>883</v>
      </c>
      <c r="W197" s="101"/>
      <c r="X197" s="101"/>
      <c r="Y197" s="101"/>
      <c r="Z197" s="111"/>
      <c r="AA197" s="101"/>
      <c r="AB197" s="101"/>
    </row>
    <row r="198" spans="1:30" x14ac:dyDescent="0.3">
      <c r="B198" s="110" t="s">
        <v>882</v>
      </c>
      <c r="C198" s="101"/>
      <c r="D198" s="101"/>
      <c r="E198" s="101"/>
      <c r="F198" s="101"/>
      <c r="G198" s="101"/>
      <c r="H198" s="101"/>
      <c r="I198" s="101"/>
      <c r="J198" s="101"/>
      <c r="K198" s="101"/>
      <c r="L198" s="101"/>
      <c r="M198" s="101"/>
      <c r="S198" s="101">
        <v>2238483.5900000003</v>
      </c>
      <c r="U198" s="101">
        <v>1659712.7400000002</v>
      </c>
      <c r="Z198" s="111"/>
      <c r="AA198" s="101"/>
      <c r="AB198" s="101"/>
      <c r="AC198" s="111"/>
      <c r="AD198" s="111"/>
    </row>
    <row r="199" spans="1:30" x14ac:dyDescent="0.3">
      <c r="B199" s="110" t="s">
        <v>881</v>
      </c>
      <c r="C199" s="101"/>
      <c r="D199" s="101"/>
      <c r="E199" s="101"/>
      <c r="F199" s="101"/>
      <c r="G199" s="101"/>
      <c r="H199" s="101"/>
      <c r="I199" s="101"/>
      <c r="J199" s="101"/>
      <c r="K199" s="101"/>
      <c r="L199" s="101"/>
      <c r="M199" s="101"/>
      <c r="S199" s="101">
        <v>2238483.59</v>
      </c>
      <c r="U199" s="100">
        <v>1659712.7400000002</v>
      </c>
      <c r="AA199" s="101"/>
      <c r="AB199" s="101"/>
    </row>
    <row r="200" spans="1:30" x14ac:dyDescent="0.3">
      <c r="A200" s="109"/>
      <c r="B200" s="108" t="s">
        <v>880</v>
      </c>
      <c r="C200" s="101"/>
      <c r="D200" s="101">
        <v>12478</v>
      </c>
      <c r="E200" s="101"/>
      <c r="F200" s="101"/>
      <c r="G200" s="101"/>
      <c r="H200" s="101">
        <v>12950.5</v>
      </c>
      <c r="I200" s="101">
        <v>28539</v>
      </c>
      <c r="J200" s="101">
        <v>41489.5</v>
      </c>
      <c r="K200" s="101"/>
      <c r="L200" s="101"/>
      <c r="M200" s="107">
        <v>13578.25</v>
      </c>
      <c r="Q200" s="100">
        <v>13504</v>
      </c>
      <c r="S200" s="100">
        <v>2238483.59</v>
      </c>
      <c r="U200" s="101">
        <v>0</v>
      </c>
      <c r="AA200" s="101"/>
      <c r="AB200" s="101"/>
    </row>
    <row r="201" spans="1:30" x14ac:dyDescent="0.3">
      <c r="A201" s="109"/>
      <c r="B201" s="108" t="s">
        <v>879</v>
      </c>
      <c r="C201" s="101"/>
      <c r="D201" s="101">
        <v>23591.88</v>
      </c>
      <c r="E201" s="101"/>
      <c r="F201" s="101"/>
      <c r="G201" s="101"/>
      <c r="H201" s="101">
        <v>23901.25</v>
      </c>
      <c r="I201" s="101">
        <v>59785</v>
      </c>
      <c r="J201" s="101">
        <v>83686.25</v>
      </c>
      <c r="K201" s="101"/>
      <c r="L201" s="101"/>
      <c r="M201" s="107">
        <v>24300.63</v>
      </c>
      <c r="Q201" s="100">
        <v>24238.75</v>
      </c>
      <c r="S201" s="101">
        <v>0</v>
      </c>
      <c r="U201" s="101"/>
      <c r="AA201" s="101"/>
      <c r="AB201" s="101"/>
    </row>
    <row r="202" spans="1:30" x14ac:dyDescent="0.3">
      <c r="A202" s="109"/>
      <c r="B202" s="108"/>
      <c r="C202" s="101"/>
      <c r="D202" s="101">
        <v>25526.880000000001</v>
      </c>
      <c r="E202" s="101"/>
      <c r="F202" s="101"/>
      <c r="G202" s="101"/>
      <c r="H202" s="101">
        <v>27343.75</v>
      </c>
      <c r="I202" s="101">
        <v>69609</v>
      </c>
      <c r="J202" s="101">
        <v>96952.75</v>
      </c>
      <c r="K202" s="101"/>
      <c r="L202" s="101"/>
      <c r="M202" s="107">
        <v>27850</v>
      </c>
      <c r="AA202" s="101"/>
      <c r="AB202" s="101"/>
    </row>
    <row r="203" spans="1:30" x14ac:dyDescent="0.3">
      <c r="A203" s="109"/>
      <c r="B203" s="108" t="s">
        <v>878</v>
      </c>
      <c r="C203" s="101"/>
      <c r="D203" s="101">
        <v>9073.75</v>
      </c>
      <c r="E203" s="101"/>
      <c r="F203" s="101"/>
      <c r="G203" s="101"/>
      <c r="H203" s="101">
        <v>9150.25</v>
      </c>
      <c r="I203" s="101">
        <v>17695</v>
      </c>
      <c r="J203" s="101">
        <v>26845.25</v>
      </c>
      <c r="K203" s="101"/>
      <c r="L203" s="101"/>
      <c r="M203" s="107">
        <v>9080.5</v>
      </c>
      <c r="Q203" s="100">
        <v>9231.25</v>
      </c>
      <c r="AA203" s="101"/>
      <c r="AB203" s="101"/>
    </row>
    <row r="204" spans="1:30" x14ac:dyDescent="0.3">
      <c r="C204" s="101"/>
      <c r="D204" s="101"/>
      <c r="E204" s="101"/>
      <c r="F204" s="101"/>
      <c r="G204" s="101"/>
      <c r="H204" s="101"/>
      <c r="I204" s="101"/>
      <c r="J204" s="101">
        <v>0</v>
      </c>
      <c r="K204" s="101"/>
      <c r="L204" s="101"/>
      <c r="M204" s="101"/>
      <c r="AA204" s="106"/>
      <c r="AB204" s="106"/>
    </row>
    <row r="205" spans="1:30" ht="15" thickBot="1" x14ac:dyDescent="0.35">
      <c r="C205" s="101"/>
      <c r="D205" s="101">
        <v>94493.64</v>
      </c>
      <c r="E205" s="101"/>
      <c r="F205" s="101"/>
      <c r="G205" s="101"/>
      <c r="H205" s="101"/>
      <c r="I205" s="101"/>
      <c r="J205" s="101"/>
      <c r="K205" s="101"/>
      <c r="L205" s="101"/>
      <c r="M205" s="101"/>
      <c r="AA205" s="101"/>
      <c r="AB205" s="101"/>
    </row>
    <row r="206" spans="1:30" ht="15" thickBot="1" x14ac:dyDescent="0.35">
      <c r="B206" s="105" t="s">
        <v>877</v>
      </c>
      <c r="C206" s="104"/>
      <c r="D206" s="104"/>
      <c r="E206" s="104"/>
      <c r="F206" s="104"/>
      <c r="G206" s="103"/>
      <c r="H206" s="103">
        <v>1713299.39</v>
      </c>
      <c r="I206" s="103">
        <v>3290455.9699999997</v>
      </c>
      <c r="J206" s="103">
        <v>6958523.9100000001</v>
      </c>
      <c r="K206" s="103"/>
      <c r="L206" s="103"/>
      <c r="M206" s="102">
        <v>1732724.87</v>
      </c>
      <c r="O206" s="101">
        <v>3082632.2700000005</v>
      </c>
      <c r="P206" s="101">
        <v>3629373.8699999987</v>
      </c>
      <c r="Q206" s="101" t="e">
        <v>#REF!</v>
      </c>
      <c r="R206" s="101">
        <v>5228670.379999999</v>
      </c>
      <c r="S206" s="101">
        <v>2220141.9600000004</v>
      </c>
      <c r="T206" s="101">
        <v>3205970.8599999994</v>
      </c>
      <c r="U206" s="101"/>
      <c r="V206" s="101"/>
      <c r="W206" s="101"/>
      <c r="X206" s="101"/>
      <c r="Y206" s="101"/>
      <c r="AA206" s="101"/>
      <c r="AB206" s="101"/>
      <c r="AC206" s="101"/>
      <c r="AD206" s="101"/>
    </row>
    <row r="207" spans="1:30" x14ac:dyDescent="0.3">
      <c r="D207" s="101" t="e">
        <v>#REF!</v>
      </c>
      <c r="E207" s="100" t="s">
        <v>876</v>
      </c>
      <c r="AA207" s="101"/>
      <c r="AB207" s="101"/>
    </row>
    <row r="208" spans="1:30" x14ac:dyDescent="0.3">
      <c r="AA208" s="101"/>
      <c r="AB208" s="101"/>
    </row>
    <row r="209" spans="7:29" x14ac:dyDescent="0.3">
      <c r="G209" s="101"/>
      <c r="AA209" s="101"/>
      <c r="AB209" s="101"/>
    </row>
    <row r="210" spans="7:29" x14ac:dyDescent="0.3">
      <c r="P210" s="101">
        <v>3860955</v>
      </c>
      <c r="Q210" s="101" t="e">
        <v>#REF!</v>
      </c>
      <c r="R210" s="101"/>
      <c r="AA210" s="101"/>
      <c r="AB210" s="101"/>
    </row>
    <row r="212" spans="7:29" x14ac:dyDescent="0.3">
      <c r="P212" s="101">
        <v>231581.13000000129</v>
      </c>
      <c r="Q212" s="101" t="e">
        <v>#REF!</v>
      </c>
      <c r="R212" s="101"/>
    </row>
    <row r="214" spans="7:29" x14ac:dyDescent="0.3">
      <c r="Q214" s="101" t="e">
        <v>#REF!</v>
      </c>
      <c r="AA214" s="101"/>
      <c r="AB214" s="101"/>
    </row>
    <row r="215" spans="7:29" x14ac:dyDescent="0.3">
      <c r="AA215" s="101"/>
      <c r="AB215" s="101"/>
    </row>
    <row r="219" spans="7:29" x14ac:dyDescent="0.3">
      <c r="AA219" s="101">
        <v>0</v>
      </c>
      <c r="AB219" s="101"/>
      <c r="AC219" s="100" t="s">
        <v>875</v>
      </c>
    </row>
    <row r="220" spans="7:29" x14ac:dyDescent="0.3">
      <c r="AA220" s="101">
        <v>140403.32</v>
      </c>
      <c r="AB220" s="101"/>
      <c r="AC220" s="100" t="s">
        <v>874</v>
      </c>
    </row>
    <row r="221" spans="7:29" x14ac:dyDescent="0.3">
      <c r="AA221" s="101">
        <v>140403.32</v>
      </c>
      <c r="AB221" s="101"/>
    </row>
    <row r="223" spans="7:29" x14ac:dyDescent="0.3">
      <c r="AA223" s="101">
        <v>-140403.32</v>
      </c>
      <c r="AB223" s="101"/>
    </row>
  </sheetData>
  <autoFilter ref="A1:AA207" xr:uid="{5A062C81-DEFA-4349-BAF2-B83D26205E4F}"/>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1812-0F3D-482E-AC10-A936EA96C71C}">
  <dimension ref="A1:AB219"/>
  <sheetViews>
    <sheetView workbookViewId="0">
      <pane xSplit="2" ySplit="2" topLeftCell="S24" activePane="bottomRight" state="frozen"/>
      <selection pane="topRight" activeCell="C1" sqref="C1"/>
      <selection pane="bottomLeft" activeCell="A3" sqref="A3"/>
      <selection pane="bottomRight" activeCell="B32" sqref="B32"/>
    </sheetView>
  </sheetViews>
  <sheetFormatPr defaultColWidth="15.77734375" defaultRowHeight="13.2" x14ac:dyDescent="0.25"/>
  <cols>
    <col min="22" max="24" width="15.77734375" style="420"/>
  </cols>
  <sheetData>
    <row r="1" spans="1:28" ht="13.8" thickBot="1" x14ac:dyDescent="0.3"/>
    <row r="2" spans="1:28" ht="29.4" thickBot="1" x14ac:dyDescent="0.3">
      <c r="A2" s="421" t="s">
        <v>1103</v>
      </c>
      <c r="B2" s="422" t="s">
        <v>1102</v>
      </c>
      <c r="C2" s="423" t="s">
        <v>1101</v>
      </c>
      <c r="D2" s="424" t="s">
        <v>1100</v>
      </c>
      <c r="E2" s="423" t="s">
        <v>1099</v>
      </c>
      <c r="F2" s="424" t="s">
        <v>1098</v>
      </c>
      <c r="G2" s="423" t="s">
        <v>1097</v>
      </c>
      <c r="H2" s="423" t="s">
        <v>1096</v>
      </c>
      <c r="I2" s="423" t="s">
        <v>1095</v>
      </c>
      <c r="J2" s="423" t="s">
        <v>1094</v>
      </c>
      <c r="K2" s="423" t="s">
        <v>1093</v>
      </c>
      <c r="L2" s="423" t="s">
        <v>1092</v>
      </c>
      <c r="M2" s="423" t="s">
        <v>1091</v>
      </c>
      <c r="N2" s="423" t="s">
        <v>1084</v>
      </c>
      <c r="O2" s="423" t="s">
        <v>1090</v>
      </c>
      <c r="P2" s="425" t="s">
        <v>1089</v>
      </c>
      <c r="Q2" s="425" t="s">
        <v>1088</v>
      </c>
      <c r="R2" s="425" t="s">
        <v>1084</v>
      </c>
      <c r="S2" s="425" t="s">
        <v>1087</v>
      </c>
      <c r="T2" s="426" t="s">
        <v>1086</v>
      </c>
      <c r="U2" s="427" t="s">
        <v>1085</v>
      </c>
      <c r="V2" s="428" t="s">
        <v>1492</v>
      </c>
      <c r="W2" s="428" t="s">
        <v>1493</v>
      </c>
      <c r="X2" s="426" t="s">
        <v>1494</v>
      </c>
      <c r="Y2" s="427" t="s">
        <v>1495</v>
      </c>
      <c r="Z2" s="427" t="s">
        <v>38</v>
      </c>
    </row>
    <row r="3" spans="1:28" x14ac:dyDescent="0.25">
      <c r="A3" t="s">
        <v>163</v>
      </c>
      <c r="B3" s="429" t="s">
        <v>1081</v>
      </c>
      <c r="C3" s="430">
        <v>23006.199999999997</v>
      </c>
      <c r="D3" s="430">
        <v>10750</v>
      </c>
      <c r="E3" s="430">
        <v>33756.199999999997</v>
      </c>
      <c r="F3" s="430"/>
      <c r="G3" s="430">
        <v>33756.199999999997</v>
      </c>
      <c r="H3" s="430">
        <v>10761.25</v>
      </c>
      <c r="I3" s="430">
        <v>22292.1</v>
      </c>
      <c r="J3" s="430">
        <v>66809.549999999988</v>
      </c>
      <c r="K3" s="430"/>
      <c r="L3" s="430">
        <v>66809.549999999988</v>
      </c>
      <c r="M3" s="430">
        <v>10671.25</v>
      </c>
      <c r="N3" s="430">
        <v>77480.799999999988</v>
      </c>
      <c r="O3" s="430">
        <v>0</v>
      </c>
      <c r="P3" s="430">
        <v>77480.799999999988</v>
      </c>
      <c r="Q3" s="430" t="e">
        <v>#REF!</v>
      </c>
      <c r="R3" s="430">
        <v>87848.299999999988</v>
      </c>
      <c r="S3" s="430">
        <v>0</v>
      </c>
      <c r="T3" s="430">
        <v>87848.299999999988</v>
      </c>
      <c r="U3" s="430">
        <v>10311.25</v>
      </c>
      <c r="V3" s="430">
        <v>98159.549999999988</v>
      </c>
      <c r="W3" s="430">
        <v>0</v>
      </c>
      <c r="X3" s="430">
        <v>98159.549999999988</v>
      </c>
      <c r="Y3" s="430">
        <v>9748.75</v>
      </c>
      <c r="Z3" s="430">
        <v>107908.29999999999</v>
      </c>
      <c r="AB3" s="430"/>
    </row>
    <row r="4" spans="1:28" x14ac:dyDescent="0.25">
      <c r="A4" t="s">
        <v>167</v>
      </c>
      <c r="B4" s="429" t="s">
        <v>1079</v>
      </c>
      <c r="C4" s="430">
        <v>23560.510000000002</v>
      </c>
      <c r="D4" s="430">
        <v>7251.25</v>
      </c>
      <c r="E4" s="430">
        <v>30811.760000000002</v>
      </c>
      <c r="F4" s="430">
        <v>23188.7</v>
      </c>
      <c r="G4" s="430">
        <v>7623.0600000000013</v>
      </c>
      <c r="H4" s="430">
        <v>7645</v>
      </c>
      <c r="I4" s="430">
        <v>13400.4</v>
      </c>
      <c r="J4" s="430">
        <v>28668.46</v>
      </c>
      <c r="K4" s="430">
        <v>0</v>
      </c>
      <c r="L4" s="430">
        <v>28668.46</v>
      </c>
      <c r="M4" s="430">
        <v>8061.25</v>
      </c>
      <c r="N4" s="430">
        <v>36729.71</v>
      </c>
      <c r="O4" s="430">
        <v>0</v>
      </c>
      <c r="P4" s="430">
        <v>36729.71</v>
      </c>
      <c r="Q4" s="430" t="e">
        <v>#REF!</v>
      </c>
      <c r="R4" s="430">
        <v>44937.21</v>
      </c>
      <c r="S4" s="430">
        <v>0</v>
      </c>
      <c r="T4" s="430">
        <v>44937.21</v>
      </c>
      <c r="U4" s="430">
        <v>8173.75</v>
      </c>
      <c r="V4" s="430">
        <v>53110.96</v>
      </c>
      <c r="W4" s="430">
        <v>40650</v>
      </c>
      <c r="X4" s="430">
        <v>12460.96</v>
      </c>
      <c r="Y4" s="430">
        <v>8061.25</v>
      </c>
      <c r="Z4" s="430">
        <v>20522.21</v>
      </c>
      <c r="AB4" s="430"/>
    </row>
    <row r="5" spans="1:28" x14ac:dyDescent="0.25">
      <c r="A5" s="431" t="s">
        <v>169</v>
      </c>
      <c r="B5" s="431" t="s">
        <v>1078</v>
      </c>
      <c r="C5" s="430">
        <v>0</v>
      </c>
      <c r="D5" s="430">
        <v>11643.25</v>
      </c>
      <c r="E5" s="430">
        <v>11643.25</v>
      </c>
      <c r="F5" s="430"/>
      <c r="G5" s="430">
        <v>11643.25</v>
      </c>
      <c r="H5" s="430">
        <v>12106.75</v>
      </c>
      <c r="I5" s="430">
        <v>26131.26</v>
      </c>
      <c r="J5" s="430">
        <v>49881.259999999995</v>
      </c>
      <c r="K5" s="430">
        <v>11643</v>
      </c>
      <c r="L5" s="430">
        <v>38238.259999999995</v>
      </c>
      <c r="M5" s="430">
        <v>11812</v>
      </c>
      <c r="N5" s="430">
        <v>50050.259999999995</v>
      </c>
      <c r="O5" s="430">
        <v>20232</v>
      </c>
      <c r="P5" s="430">
        <v>29818.259999999995</v>
      </c>
      <c r="Q5" s="430" t="e">
        <v>#REF!</v>
      </c>
      <c r="R5" s="430">
        <v>41090.259999999995</v>
      </c>
      <c r="S5" s="430">
        <v>34211.760000000002</v>
      </c>
      <c r="T5" s="430">
        <v>6878.4999999999927</v>
      </c>
      <c r="U5" s="430">
        <v>9953.5</v>
      </c>
      <c r="V5" s="430">
        <v>16831.999999999993</v>
      </c>
      <c r="W5" s="430">
        <v>0</v>
      </c>
      <c r="X5" s="430">
        <v>16831.999999999993</v>
      </c>
      <c r="Y5" s="430">
        <v>9190.75</v>
      </c>
      <c r="Z5" s="430">
        <v>26022.749999999993</v>
      </c>
      <c r="AB5" s="430"/>
    </row>
    <row r="6" spans="1:28" x14ac:dyDescent="0.25">
      <c r="A6" t="s">
        <v>171</v>
      </c>
      <c r="B6" t="s">
        <v>1077</v>
      </c>
      <c r="C6" s="430">
        <v>0</v>
      </c>
      <c r="D6" s="430">
        <v>12133.75</v>
      </c>
      <c r="E6" s="430">
        <v>12133.75</v>
      </c>
      <c r="F6" s="430">
        <v>9848</v>
      </c>
      <c r="G6" s="430">
        <v>2285.75</v>
      </c>
      <c r="H6" s="430">
        <v>12160.75</v>
      </c>
      <c r="I6" s="430">
        <v>26285.34</v>
      </c>
      <c r="J6" s="430">
        <v>40731.839999999997</v>
      </c>
      <c r="K6" s="430">
        <v>18702.38</v>
      </c>
      <c r="L6" s="430">
        <v>22029.459999999995</v>
      </c>
      <c r="M6" s="430">
        <v>12487</v>
      </c>
      <c r="N6" s="430">
        <v>34516.459999999992</v>
      </c>
      <c r="O6" s="430">
        <v>38101.040000000001</v>
      </c>
      <c r="P6" s="430">
        <v>-3584.580000000009</v>
      </c>
      <c r="Q6" s="430" t="e">
        <v>#REF!</v>
      </c>
      <c r="R6" s="430">
        <v>8994.669999999991</v>
      </c>
      <c r="S6" s="430">
        <v>8994.67</v>
      </c>
      <c r="T6" s="430">
        <v>0</v>
      </c>
      <c r="U6" s="430">
        <v>12241.75</v>
      </c>
      <c r="V6" s="430">
        <v>12241.75</v>
      </c>
      <c r="W6" s="430">
        <v>0</v>
      </c>
      <c r="X6" s="430">
        <v>12241.75</v>
      </c>
      <c r="Y6" s="430">
        <v>12055</v>
      </c>
      <c r="Z6" s="430">
        <v>24296.75</v>
      </c>
      <c r="AB6" s="430"/>
    </row>
    <row r="7" spans="1:28" x14ac:dyDescent="0.25">
      <c r="A7" t="s">
        <v>173</v>
      </c>
      <c r="B7" t="s">
        <v>1076</v>
      </c>
      <c r="C7" s="430">
        <v>0.30000000000291038</v>
      </c>
      <c r="D7" s="430">
        <v>11587</v>
      </c>
      <c r="E7" s="430">
        <v>11587.300000000003</v>
      </c>
      <c r="F7" s="430"/>
      <c r="G7" s="430">
        <v>11587.300000000003</v>
      </c>
      <c r="H7" s="430">
        <v>11598.25</v>
      </c>
      <c r="I7" s="430">
        <v>24680.34</v>
      </c>
      <c r="J7" s="430">
        <v>47865.89</v>
      </c>
      <c r="K7" s="430">
        <v>0</v>
      </c>
      <c r="L7" s="430">
        <v>47865.89</v>
      </c>
      <c r="M7" s="430">
        <v>11614</v>
      </c>
      <c r="N7" s="430">
        <v>59479.89</v>
      </c>
      <c r="O7" s="430">
        <v>7797.9</v>
      </c>
      <c r="P7" s="430">
        <v>51681.99</v>
      </c>
      <c r="Q7" s="430" t="e">
        <v>#REF!</v>
      </c>
      <c r="R7" s="430">
        <v>63228.49</v>
      </c>
      <c r="S7" s="430">
        <v>62237.19</v>
      </c>
      <c r="T7" s="430">
        <v>991.29999999999563</v>
      </c>
      <c r="U7" s="430">
        <v>11593.75</v>
      </c>
      <c r="V7" s="430">
        <v>12585.049999999996</v>
      </c>
      <c r="W7" s="430">
        <v>7740</v>
      </c>
      <c r="X7" s="430">
        <v>4845.0499999999956</v>
      </c>
      <c r="Y7" s="430">
        <v>11531.88</v>
      </c>
      <c r="Z7" s="430">
        <v>16376.929999999995</v>
      </c>
      <c r="AB7" s="430"/>
    </row>
    <row r="8" spans="1:28" x14ac:dyDescent="0.25">
      <c r="A8" t="s">
        <v>1075</v>
      </c>
      <c r="B8" t="s">
        <v>1074</v>
      </c>
      <c r="C8" s="430">
        <v>2195.8599999999997</v>
      </c>
      <c r="D8" s="430">
        <v>8270.5</v>
      </c>
      <c r="E8" s="430">
        <v>10466.36</v>
      </c>
      <c r="F8" s="430">
        <v>6923.14</v>
      </c>
      <c r="G8" s="430">
        <v>3543.2200000000003</v>
      </c>
      <c r="H8" s="430">
        <v>8599</v>
      </c>
      <c r="I8" s="430">
        <v>16122.48</v>
      </c>
      <c r="J8" s="430">
        <v>28264.7</v>
      </c>
      <c r="K8" s="430">
        <v>0</v>
      </c>
      <c r="L8" s="430">
        <v>28264.7</v>
      </c>
      <c r="M8" s="430">
        <v>8560.75</v>
      </c>
      <c r="N8" s="430">
        <v>36825.449999999997</v>
      </c>
      <c r="O8" s="430">
        <v>36825.199999999997</v>
      </c>
      <c r="P8" s="430">
        <v>0.25</v>
      </c>
      <c r="Q8" s="432"/>
      <c r="R8" s="430">
        <v>0.25</v>
      </c>
      <c r="S8" s="430">
        <v>0</v>
      </c>
      <c r="T8" s="430">
        <v>0.25</v>
      </c>
      <c r="U8" s="430"/>
      <c r="V8" s="430">
        <v>0.25</v>
      </c>
      <c r="W8" s="430">
        <v>0</v>
      </c>
      <c r="X8" s="430">
        <v>0.25</v>
      </c>
      <c r="Y8" s="430">
        <v>0</v>
      </c>
      <c r="Z8" s="430">
        <v>0.25</v>
      </c>
      <c r="AB8" s="430"/>
    </row>
    <row r="9" spans="1:28" x14ac:dyDescent="0.25">
      <c r="A9" t="s">
        <v>175</v>
      </c>
      <c r="B9" t="s">
        <v>1073</v>
      </c>
      <c r="C9" s="430">
        <v>0</v>
      </c>
      <c r="D9" s="430">
        <v>9116.5</v>
      </c>
      <c r="E9" s="430">
        <v>9116.5</v>
      </c>
      <c r="F9" s="430">
        <v>9000</v>
      </c>
      <c r="G9" s="430">
        <v>116.5</v>
      </c>
      <c r="H9" s="430">
        <v>9118.75</v>
      </c>
      <c r="I9" s="430">
        <v>17605.5</v>
      </c>
      <c r="J9" s="430">
        <v>26840.75</v>
      </c>
      <c r="K9" s="430">
        <v>0</v>
      </c>
      <c r="L9" s="430">
        <v>26840.75</v>
      </c>
      <c r="M9" s="430">
        <v>8883.6299999999992</v>
      </c>
      <c r="N9" s="430">
        <v>35724.379999999997</v>
      </c>
      <c r="O9" s="430">
        <v>6528</v>
      </c>
      <c r="P9" s="430">
        <v>29196.379999999997</v>
      </c>
      <c r="Q9" s="430" t="e">
        <v>#REF!</v>
      </c>
      <c r="R9" s="430">
        <v>38105.879999999997</v>
      </c>
      <c r="S9" s="430">
        <v>8584</v>
      </c>
      <c r="T9" s="430">
        <v>29521.879999999997</v>
      </c>
      <c r="U9" s="430">
        <v>8801.5</v>
      </c>
      <c r="V9" s="430">
        <v>38323.379999999997</v>
      </c>
      <c r="W9" s="430">
        <v>0</v>
      </c>
      <c r="X9" s="430">
        <v>38323.379999999997</v>
      </c>
      <c r="Y9" s="430">
        <v>8559.6200000000008</v>
      </c>
      <c r="Z9" s="430">
        <v>46883</v>
      </c>
      <c r="AB9" s="430"/>
    </row>
    <row r="10" spans="1:28" x14ac:dyDescent="0.25">
      <c r="A10" t="s">
        <v>349</v>
      </c>
      <c r="B10" t="s">
        <v>1072</v>
      </c>
      <c r="C10" s="430">
        <v>11598</v>
      </c>
      <c r="D10" s="430">
        <v>7037.5</v>
      </c>
      <c r="E10" s="430">
        <v>18635.5</v>
      </c>
      <c r="F10" s="430">
        <v>9644.39</v>
      </c>
      <c r="G10" s="430">
        <v>8991.11</v>
      </c>
      <c r="H10" s="430">
        <v>7026.25</v>
      </c>
      <c r="I10" s="430">
        <v>11634.9</v>
      </c>
      <c r="J10" s="430">
        <v>27652.260000000002</v>
      </c>
      <c r="K10" s="430">
        <v>6847.5</v>
      </c>
      <c r="L10" s="430">
        <v>20804.760000000002</v>
      </c>
      <c r="M10" s="430">
        <v>7015</v>
      </c>
      <c r="N10" s="430">
        <v>27819.760000000002</v>
      </c>
      <c r="O10" s="430">
        <v>10869</v>
      </c>
      <c r="P10" s="430">
        <v>16950.760000000002</v>
      </c>
      <c r="Q10" s="430" t="e">
        <v>#REF!</v>
      </c>
      <c r="R10" s="430">
        <v>23988.260000000002</v>
      </c>
      <c r="S10" s="430">
        <v>2318.9899999999998</v>
      </c>
      <c r="T10" s="430">
        <v>21669.270000000004</v>
      </c>
      <c r="U10" s="430">
        <v>7037.5</v>
      </c>
      <c r="V10" s="430">
        <v>28706.770000000004</v>
      </c>
      <c r="W10" s="430">
        <v>17200.830000000002</v>
      </c>
      <c r="X10" s="430">
        <v>11505.940000000002</v>
      </c>
      <c r="Y10" s="430">
        <v>7037.5</v>
      </c>
      <c r="Z10" s="430">
        <v>18543.440000000002</v>
      </c>
      <c r="AB10" s="430"/>
    </row>
    <row r="11" spans="1:28" x14ac:dyDescent="0.25">
      <c r="A11" t="s">
        <v>351</v>
      </c>
      <c r="B11" s="42" t="s">
        <v>1071</v>
      </c>
      <c r="C11" s="430">
        <v>-0.48999999999796273</v>
      </c>
      <c r="D11" s="430">
        <v>8038.75</v>
      </c>
      <c r="E11" s="430">
        <v>8038.260000000002</v>
      </c>
      <c r="F11" s="430">
        <v>8038.26</v>
      </c>
      <c r="G11" s="430">
        <v>0</v>
      </c>
      <c r="H11" s="430">
        <v>8050</v>
      </c>
      <c r="I11" s="430">
        <v>14556</v>
      </c>
      <c r="J11" s="430">
        <v>22606</v>
      </c>
      <c r="K11" s="430">
        <v>8050</v>
      </c>
      <c r="L11" s="430">
        <v>14556</v>
      </c>
      <c r="M11" s="430">
        <v>8083.75</v>
      </c>
      <c r="N11" s="430">
        <v>22639.75</v>
      </c>
      <c r="O11" s="430">
        <v>15843.85</v>
      </c>
      <c r="P11" s="430">
        <v>6795.9</v>
      </c>
      <c r="Q11" s="430" t="e">
        <v>#REF!</v>
      </c>
      <c r="R11" s="430">
        <v>14857.15</v>
      </c>
      <c r="S11" s="430">
        <v>2690.5</v>
      </c>
      <c r="T11" s="430">
        <v>12166.65</v>
      </c>
      <c r="U11" s="430">
        <v>8083.75</v>
      </c>
      <c r="V11" s="430">
        <v>20250.400000000001</v>
      </c>
      <c r="W11" s="430">
        <v>7191.8499999999995</v>
      </c>
      <c r="X11" s="430">
        <v>13058.550000000003</v>
      </c>
      <c r="Y11" s="430">
        <v>8038.75</v>
      </c>
      <c r="Z11" s="430">
        <v>21097.300000000003</v>
      </c>
      <c r="AB11" s="430"/>
    </row>
    <row r="12" spans="1:28" x14ac:dyDescent="0.25">
      <c r="A12" t="s">
        <v>177</v>
      </c>
      <c r="B12" t="s">
        <v>1070</v>
      </c>
      <c r="C12" s="430">
        <v>14709</v>
      </c>
      <c r="D12" s="430">
        <v>6344.5</v>
      </c>
      <c r="E12" s="430">
        <v>21053.5</v>
      </c>
      <c r="F12" s="430"/>
      <c r="G12" s="430">
        <v>21053.5</v>
      </c>
      <c r="H12" s="430">
        <v>6985.75</v>
      </c>
      <c r="I12" s="430">
        <v>11519.34</v>
      </c>
      <c r="J12" s="430">
        <v>39558.589999999997</v>
      </c>
      <c r="K12" s="430">
        <v>13496.9</v>
      </c>
      <c r="L12" s="430">
        <v>26061.689999999995</v>
      </c>
      <c r="M12" s="430">
        <v>6862</v>
      </c>
      <c r="N12" s="430">
        <v>32923.689999999995</v>
      </c>
      <c r="O12" s="430">
        <v>9270.9500000000007</v>
      </c>
      <c r="P12" s="430">
        <v>23652.739999999994</v>
      </c>
      <c r="Q12" s="430" t="e">
        <v>#REF!</v>
      </c>
      <c r="R12" s="430">
        <v>30163.739999999994</v>
      </c>
      <c r="S12" s="430">
        <v>12639.09</v>
      </c>
      <c r="T12" s="430">
        <v>17524.649999999994</v>
      </c>
      <c r="U12" s="430">
        <v>6184.75</v>
      </c>
      <c r="V12" s="430">
        <v>23709.399999999994</v>
      </c>
      <c r="W12" s="430">
        <v>12965</v>
      </c>
      <c r="X12" s="430">
        <v>10744.399999999994</v>
      </c>
      <c r="Y12" s="430">
        <v>6081.25</v>
      </c>
      <c r="Z12" s="430">
        <v>16825.649999999994</v>
      </c>
      <c r="AB12" s="430"/>
    </row>
    <row r="13" spans="1:28" x14ac:dyDescent="0.25">
      <c r="A13" t="s">
        <v>179</v>
      </c>
      <c r="B13" s="42" t="s">
        <v>1069</v>
      </c>
      <c r="C13" s="430">
        <v>6.9999999999708962E-2</v>
      </c>
      <c r="D13" s="430">
        <v>6565</v>
      </c>
      <c r="E13" s="430">
        <v>6565.07</v>
      </c>
      <c r="F13" s="430">
        <v>4433</v>
      </c>
      <c r="G13" s="430">
        <v>2132.0699999999997</v>
      </c>
      <c r="H13" s="430">
        <v>6655</v>
      </c>
      <c r="I13" s="430">
        <v>10575.6</v>
      </c>
      <c r="J13" s="430">
        <v>19362.669999999998</v>
      </c>
      <c r="K13" s="430">
        <v>1998</v>
      </c>
      <c r="L13" s="430">
        <v>17364.669999999998</v>
      </c>
      <c r="M13" s="430">
        <v>6868.75</v>
      </c>
      <c r="N13" s="430">
        <v>24233.42</v>
      </c>
      <c r="O13" s="430">
        <v>13472.230000000001</v>
      </c>
      <c r="P13" s="430">
        <v>10761.189999999997</v>
      </c>
      <c r="Q13" s="430" t="e">
        <v>#REF!</v>
      </c>
      <c r="R13" s="430">
        <v>17888.689999999995</v>
      </c>
      <c r="S13" s="430">
        <v>17521.259999999998</v>
      </c>
      <c r="T13" s="430">
        <v>367.42999999999665</v>
      </c>
      <c r="U13" s="430">
        <v>7543.75</v>
      </c>
      <c r="V13" s="430">
        <v>7911.1799999999967</v>
      </c>
      <c r="W13" s="430">
        <v>2995</v>
      </c>
      <c r="X13" s="430">
        <v>4916.1799999999967</v>
      </c>
      <c r="Y13" s="430">
        <v>7498.75</v>
      </c>
      <c r="Z13" s="430">
        <v>12414.929999999997</v>
      </c>
      <c r="AB13" s="430"/>
    </row>
    <row r="14" spans="1:28" x14ac:dyDescent="0.25">
      <c r="A14" t="s">
        <v>181</v>
      </c>
      <c r="B14" t="s">
        <v>1068</v>
      </c>
      <c r="C14" s="430">
        <v>0</v>
      </c>
      <c r="D14" s="430">
        <v>6306.25</v>
      </c>
      <c r="E14" s="430">
        <v>6306.25</v>
      </c>
      <c r="F14" s="430">
        <v>6194</v>
      </c>
      <c r="G14" s="430">
        <v>112.25</v>
      </c>
      <c r="H14" s="430">
        <v>6328.75</v>
      </c>
      <c r="I14" s="430">
        <v>9644.7000000000007</v>
      </c>
      <c r="J14" s="430">
        <v>16085.7</v>
      </c>
      <c r="K14" s="430">
        <v>5785</v>
      </c>
      <c r="L14" s="430">
        <v>10300.700000000001</v>
      </c>
      <c r="M14" s="430">
        <v>6272.5</v>
      </c>
      <c r="N14" s="430">
        <v>16573.2</v>
      </c>
      <c r="O14" s="430">
        <v>9252.4500000000007</v>
      </c>
      <c r="P14" s="430">
        <v>7320.75</v>
      </c>
      <c r="Q14" s="430" t="e">
        <v>#REF!</v>
      </c>
      <c r="R14" s="430">
        <v>13638.25</v>
      </c>
      <c r="S14" s="430">
        <v>11932.9</v>
      </c>
      <c r="T14" s="430">
        <v>1705.3500000000004</v>
      </c>
      <c r="U14" s="430">
        <v>6261.25</v>
      </c>
      <c r="V14" s="430">
        <v>7966.6</v>
      </c>
      <c r="W14" s="430">
        <v>7105.6</v>
      </c>
      <c r="X14" s="430">
        <v>861</v>
      </c>
      <c r="Y14" s="430">
        <v>6261.25</v>
      </c>
      <c r="Z14" s="430">
        <v>7122.25</v>
      </c>
      <c r="AB14" s="430"/>
    </row>
    <row r="15" spans="1:28" x14ac:dyDescent="0.25">
      <c r="A15" t="s">
        <v>183</v>
      </c>
      <c r="B15" t="s">
        <v>1067</v>
      </c>
      <c r="C15" s="430">
        <v>32588.93</v>
      </c>
      <c r="D15" s="430">
        <v>10372</v>
      </c>
      <c r="E15" s="430">
        <v>42960.93</v>
      </c>
      <c r="F15" s="430"/>
      <c r="G15" s="430">
        <v>42960.93</v>
      </c>
      <c r="H15" s="430">
        <v>10412.5</v>
      </c>
      <c r="I15" s="430">
        <v>21297</v>
      </c>
      <c r="J15" s="430">
        <v>74670.429999999993</v>
      </c>
      <c r="K15" s="430">
        <v>33659.300000000003</v>
      </c>
      <c r="L15" s="430">
        <v>41011.12999999999</v>
      </c>
      <c r="M15" s="430">
        <v>10075</v>
      </c>
      <c r="N15" s="430">
        <v>51086.12999999999</v>
      </c>
      <c r="O15" s="430">
        <v>25369.690000000002</v>
      </c>
      <c r="P15" s="430">
        <v>25716.439999999988</v>
      </c>
      <c r="Q15" s="430" t="e">
        <v>#REF!</v>
      </c>
      <c r="R15" s="430">
        <v>35442.689999999988</v>
      </c>
      <c r="S15" s="430">
        <v>0</v>
      </c>
      <c r="T15" s="430">
        <v>35442.689999999988</v>
      </c>
      <c r="U15" s="430">
        <v>9238</v>
      </c>
      <c r="V15" s="430">
        <v>44680.689999999988</v>
      </c>
      <c r="W15" s="430">
        <v>38995</v>
      </c>
      <c r="X15" s="430">
        <v>5685.6899999999878</v>
      </c>
      <c r="Y15" s="430">
        <v>8798.1200000000008</v>
      </c>
      <c r="Z15" s="430">
        <v>14483.809999999989</v>
      </c>
      <c r="AB15" s="430"/>
    </row>
    <row r="16" spans="1:28" x14ac:dyDescent="0.25">
      <c r="A16" t="s">
        <v>185</v>
      </c>
      <c r="B16" t="s">
        <v>1066</v>
      </c>
      <c r="C16" s="430">
        <v>16586.919999999998</v>
      </c>
      <c r="D16" s="430">
        <v>6448</v>
      </c>
      <c r="E16" s="430">
        <v>23034.92</v>
      </c>
      <c r="F16" s="430"/>
      <c r="G16" s="430">
        <v>23034.92</v>
      </c>
      <c r="H16" s="430">
        <v>6432.25</v>
      </c>
      <c r="I16" s="430">
        <v>9940.02</v>
      </c>
      <c r="J16" s="430">
        <v>39407.19</v>
      </c>
      <c r="K16" s="430">
        <v>12542.089999999998</v>
      </c>
      <c r="L16" s="430">
        <v>26865.100000000006</v>
      </c>
      <c r="M16" s="430">
        <v>6445.75</v>
      </c>
      <c r="N16" s="430">
        <v>33310.850000000006</v>
      </c>
      <c r="O16" s="430">
        <v>6150.38</v>
      </c>
      <c r="P16" s="430">
        <v>27160.470000000005</v>
      </c>
      <c r="Q16" s="430" t="e">
        <v>#REF!</v>
      </c>
      <c r="R16" s="430">
        <v>33522.97</v>
      </c>
      <c r="S16" s="430">
        <v>11055</v>
      </c>
      <c r="T16" s="430">
        <v>22467.97</v>
      </c>
      <c r="U16" s="430">
        <v>6163.38</v>
      </c>
      <c r="V16" s="430">
        <v>28631.350000000002</v>
      </c>
      <c r="W16" s="430">
        <v>800</v>
      </c>
      <c r="X16" s="430">
        <v>27831.350000000002</v>
      </c>
      <c r="Y16" s="430">
        <v>6135.25</v>
      </c>
      <c r="Z16" s="430">
        <v>33966.600000000006</v>
      </c>
      <c r="AB16" s="430"/>
    </row>
    <row r="17" spans="1:28" x14ac:dyDescent="0.25">
      <c r="A17" t="s">
        <v>187</v>
      </c>
      <c r="B17" s="42" t="s">
        <v>1065</v>
      </c>
      <c r="C17" s="430">
        <v>5746.8499999999995</v>
      </c>
      <c r="D17" s="430">
        <v>6610</v>
      </c>
      <c r="E17" s="430">
        <v>12356.849999999999</v>
      </c>
      <c r="F17" s="430">
        <v>10490.6</v>
      </c>
      <c r="G17" s="430">
        <v>1866.2499999999982</v>
      </c>
      <c r="H17" s="430">
        <v>6598.75</v>
      </c>
      <c r="I17" s="430">
        <v>10415.1</v>
      </c>
      <c r="J17" s="430">
        <v>18880.099999999999</v>
      </c>
      <c r="K17" s="430">
        <v>304</v>
      </c>
      <c r="L17" s="430">
        <v>18576.099999999999</v>
      </c>
      <c r="M17" s="430">
        <v>6508.75</v>
      </c>
      <c r="N17" s="430">
        <v>25084.85</v>
      </c>
      <c r="O17" s="430">
        <v>13178.98</v>
      </c>
      <c r="P17" s="430">
        <v>11905.869999999999</v>
      </c>
      <c r="Q17" s="430" t="e">
        <v>#REF!</v>
      </c>
      <c r="R17" s="430">
        <v>18493.37</v>
      </c>
      <c r="S17" s="430">
        <v>18493.37</v>
      </c>
      <c r="T17" s="430">
        <v>0</v>
      </c>
      <c r="U17" s="430">
        <v>6441.25</v>
      </c>
      <c r="V17" s="430">
        <v>6441.25</v>
      </c>
      <c r="W17" s="430">
        <v>1524.5</v>
      </c>
      <c r="X17" s="430">
        <v>4916.75</v>
      </c>
      <c r="Y17" s="430">
        <v>0</v>
      </c>
      <c r="Z17" s="430">
        <v>4916.75</v>
      </c>
      <c r="AB17" s="430"/>
    </row>
    <row r="18" spans="1:28" x14ac:dyDescent="0.25">
      <c r="A18" t="s">
        <v>189</v>
      </c>
      <c r="B18" t="s">
        <v>1064</v>
      </c>
      <c r="C18" s="430">
        <v>0</v>
      </c>
      <c r="D18" s="430">
        <v>11053.75</v>
      </c>
      <c r="E18" s="430">
        <v>11053.75</v>
      </c>
      <c r="F18" s="430">
        <v>10975</v>
      </c>
      <c r="G18" s="430">
        <v>78.75</v>
      </c>
      <c r="H18" s="430">
        <v>10873.75</v>
      </c>
      <c r="I18" s="430">
        <v>22613.1</v>
      </c>
      <c r="J18" s="430">
        <v>33565.599999999999</v>
      </c>
      <c r="K18" s="430">
        <v>10952</v>
      </c>
      <c r="L18" s="430">
        <v>22613.599999999999</v>
      </c>
      <c r="M18" s="430">
        <v>11031.25</v>
      </c>
      <c r="N18" s="430">
        <v>33644.85</v>
      </c>
      <c r="O18" s="430">
        <v>33644.85</v>
      </c>
      <c r="P18" s="430">
        <v>0</v>
      </c>
      <c r="Q18" s="430" t="e">
        <v>#REF!</v>
      </c>
      <c r="R18" s="430">
        <v>10896.25</v>
      </c>
      <c r="S18" s="430">
        <v>10896.25</v>
      </c>
      <c r="T18" s="430">
        <v>0</v>
      </c>
      <c r="U18" s="430">
        <v>10873.75</v>
      </c>
      <c r="V18" s="430">
        <v>10873.75</v>
      </c>
      <c r="W18" s="430">
        <v>0</v>
      </c>
      <c r="X18" s="430">
        <v>10873.75</v>
      </c>
      <c r="Y18" s="430">
        <v>10356.25</v>
      </c>
      <c r="Z18" s="430">
        <v>21230</v>
      </c>
      <c r="AB18" s="430"/>
    </row>
    <row r="19" spans="1:28" x14ac:dyDescent="0.25">
      <c r="A19" t="s">
        <v>191</v>
      </c>
      <c r="B19" s="42" t="s">
        <v>1063</v>
      </c>
      <c r="C19" s="430">
        <v>7400</v>
      </c>
      <c r="D19" s="430">
        <v>7388.5</v>
      </c>
      <c r="E19" s="430">
        <v>14788.5</v>
      </c>
      <c r="F19" s="430"/>
      <c r="G19" s="430">
        <v>14788.5</v>
      </c>
      <c r="H19" s="430">
        <v>7399.75</v>
      </c>
      <c r="I19" s="430">
        <v>12700.62</v>
      </c>
      <c r="J19" s="430">
        <v>34888.870000000003</v>
      </c>
      <c r="K19" s="430">
        <v>14789</v>
      </c>
      <c r="L19" s="430">
        <v>20099.870000000003</v>
      </c>
      <c r="M19" s="430">
        <v>7388.5</v>
      </c>
      <c r="N19" s="430">
        <v>27488.370000000003</v>
      </c>
      <c r="O19" s="430">
        <v>0</v>
      </c>
      <c r="P19" s="430">
        <v>27488.370000000003</v>
      </c>
      <c r="Q19" s="430" t="e">
        <v>#REF!</v>
      </c>
      <c r="R19" s="430">
        <v>34908.370000000003</v>
      </c>
      <c r="S19" s="430">
        <v>24815</v>
      </c>
      <c r="T19" s="430">
        <v>10093.370000000003</v>
      </c>
      <c r="U19" s="430">
        <v>7478.5</v>
      </c>
      <c r="V19" s="430">
        <v>17571.870000000003</v>
      </c>
      <c r="W19" s="430">
        <v>0</v>
      </c>
      <c r="X19" s="430">
        <v>17571.870000000003</v>
      </c>
      <c r="Y19" s="430">
        <v>7458.25</v>
      </c>
      <c r="Z19" s="430">
        <v>25030.120000000003</v>
      </c>
      <c r="AB19" s="430"/>
    </row>
    <row r="20" spans="1:28" x14ac:dyDescent="0.25">
      <c r="A20" t="s">
        <v>193</v>
      </c>
      <c r="B20" s="42" t="s">
        <v>1062</v>
      </c>
      <c r="C20" s="430">
        <v>8039</v>
      </c>
      <c r="D20" s="430">
        <v>8050</v>
      </c>
      <c r="E20" s="430">
        <v>16089</v>
      </c>
      <c r="F20" s="430"/>
      <c r="G20" s="430">
        <v>16089</v>
      </c>
      <c r="H20" s="430">
        <v>8050</v>
      </c>
      <c r="I20" s="430">
        <v>14556</v>
      </c>
      <c r="J20" s="430">
        <v>38695</v>
      </c>
      <c r="K20" s="430">
        <v>16089</v>
      </c>
      <c r="L20" s="430">
        <v>22606</v>
      </c>
      <c r="M20" s="430">
        <v>8072.5</v>
      </c>
      <c r="N20" s="430">
        <v>30678.5</v>
      </c>
      <c r="O20" s="430">
        <v>0</v>
      </c>
      <c r="P20" s="430">
        <v>30678.5</v>
      </c>
      <c r="Q20" s="430" t="e">
        <v>#REF!</v>
      </c>
      <c r="R20" s="430">
        <v>38751</v>
      </c>
      <c r="S20" s="430">
        <v>3203</v>
      </c>
      <c r="T20" s="430">
        <v>35548</v>
      </c>
      <c r="U20" s="430">
        <v>8111.88</v>
      </c>
      <c r="V20" s="430">
        <v>43659.88</v>
      </c>
      <c r="W20" s="430">
        <v>0</v>
      </c>
      <c r="X20" s="430">
        <v>43659.88</v>
      </c>
      <c r="Y20" s="430">
        <v>8128.75</v>
      </c>
      <c r="Z20" s="430">
        <v>51788.63</v>
      </c>
      <c r="AB20" s="430"/>
    </row>
    <row r="21" spans="1:28" x14ac:dyDescent="0.25">
      <c r="A21" t="s">
        <v>195</v>
      </c>
      <c r="B21" s="42" t="s">
        <v>1061</v>
      </c>
      <c r="C21" s="430">
        <v>0</v>
      </c>
      <c r="D21" s="430">
        <v>11492.5</v>
      </c>
      <c r="E21" s="430">
        <v>11492.5</v>
      </c>
      <c r="F21" s="430"/>
      <c r="G21" s="430">
        <v>11492.5</v>
      </c>
      <c r="H21" s="430">
        <v>12100</v>
      </c>
      <c r="I21" s="430">
        <v>26112</v>
      </c>
      <c r="J21" s="430">
        <v>49704.5</v>
      </c>
      <c r="K21" s="430">
        <v>23592.5</v>
      </c>
      <c r="L21" s="430">
        <v>26112</v>
      </c>
      <c r="M21" s="430">
        <v>12091</v>
      </c>
      <c r="N21" s="430">
        <v>38203</v>
      </c>
      <c r="O21" s="430">
        <v>0</v>
      </c>
      <c r="P21" s="430">
        <v>38203</v>
      </c>
      <c r="Q21" s="430" t="e">
        <v>#REF!</v>
      </c>
      <c r="R21" s="430">
        <v>50273.75</v>
      </c>
      <c r="S21" s="430">
        <v>50274</v>
      </c>
      <c r="T21" s="430">
        <v>-0.25</v>
      </c>
      <c r="U21" s="430">
        <v>11708.5</v>
      </c>
      <c r="V21" s="430">
        <v>11708.25</v>
      </c>
      <c r="W21" s="430">
        <v>0</v>
      </c>
      <c r="X21" s="430">
        <v>11708.25</v>
      </c>
      <c r="Y21" s="430">
        <v>11416</v>
      </c>
      <c r="Z21" s="430">
        <v>23124.25</v>
      </c>
      <c r="AB21" s="430"/>
    </row>
    <row r="22" spans="1:28" x14ac:dyDescent="0.25">
      <c r="A22" t="s">
        <v>199</v>
      </c>
      <c r="B22" s="42" t="s">
        <v>1060</v>
      </c>
      <c r="C22" s="430">
        <v>9331</v>
      </c>
      <c r="D22" s="430">
        <v>6250</v>
      </c>
      <c r="E22" s="430">
        <v>15581</v>
      </c>
      <c r="F22" s="430"/>
      <c r="G22" s="430">
        <v>15581</v>
      </c>
      <c r="H22" s="430">
        <v>6166.75</v>
      </c>
      <c r="I22" s="430">
        <v>9182.4599999999991</v>
      </c>
      <c r="J22" s="430">
        <v>30930.21</v>
      </c>
      <c r="K22" s="430">
        <v>13647</v>
      </c>
      <c r="L22" s="430">
        <v>17283.21</v>
      </c>
      <c r="M22" s="430">
        <v>6121.75</v>
      </c>
      <c r="N22" s="430">
        <v>23404.959999999999</v>
      </c>
      <c r="O22" s="430">
        <v>20893</v>
      </c>
      <c r="P22" s="430">
        <v>2511.9599999999991</v>
      </c>
      <c r="Q22" s="430" t="e">
        <v>#REF!</v>
      </c>
      <c r="R22" s="430">
        <v>8651.7099999999991</v>
      </c>
      <c r="S22" s="430">
        <v>0</v>
      </c>
      <c r="T22" s="430">
        <v>8651.7099999999991</v>
      </c>
      <c r="U22" s="430">
        <v>6173.5</v>
      </c>
      <c r="V22" s="430">
        <v>14825.21</v>
      </c>
      <c r="W22" s="430">
        <v>0</v>
      </c>
      <c r="X22" s="430">
        <v>14825.21</v>
      </c>
      <c r="Y22" s="430">
        <v>5975.5</v>
      </c>
      <c r="Z22" s="430">
        <v>20800.71</v>
      </c>
      <c r="AB22" s="430"/>
    </row>
    <row r="23" spans="1:28" x14ac:dyDescent="0.25">
      <c r="A23" t="s">
        <v>201</v>
      </c>
      <c r="B23" s="42" t="s">
        <v>1059</v>
      </c>
      <c r="C23" s="430">
        <v>0</v>
      </c>
      <c r="D23" s="430">
        <v>6632.5</v>
      </c>
      <c r="E23" s="430">
        <v>6632.5</v>
      </c>
      <c r="F23" s="430">
        <v>6632.5</v>
      </c>
      <c r="G23" s="430">
        <v>0</v>
      </c>
      <c r="H23" s="430">
        <v>6553.75</v>
      </c>
      <c r="I23" s="430">
        <v>10286.700000000001</v>
      </c>
      <c r="J23" s="430">
        <v>16840.45</v>
      </c>
      <c r="K23" s="430">
        <v>5925</v>
      </c>
      <c r="L23" s="430">
        <v>10915.45</v>
      </c>
      <c r="M23" s="430">
        <v>6520</v>
      </c>
      <c r="N23" s="430">
        <v>17435.45</v>
      </c>
      <c r="O23" s="430">
        <v>8592</v>
      </c>
      <c r="P23" s="430">
        <v>8843.4500000000007</v>
      </c>
      <c r="Q23" s="430" t="e">
        <v>#REF!</v>
      </c>
      <c r="R23" s="430">
        <v>15453.45</v>
      </c>
      <c r="S23" s="430">
        <v>13825.25</v>
      </c>
      <c r="T23" s="430">
        <v>1628.2000000000007</v>
      </c>
      <c r="U23" s="430">
        <v>6565</v>
      </c>
      <c r="V23" s="430">
        <v>8193.2000000000007</v>
      </c>
      <c r="W23" s="430">
        <v>1.1368683772161603E-13</v>
      </c>
      <c r="X23" s="430">
        <v>8193.2000000000007</v>
      </c>
      <c r="Y23" s="430">
        <v>6497.5</v>
      </c>
      <c r="Z23" s="430">
        <v>14690.7</v>
      </c>
      <c r="AB23" s="430"/>
    </row>
    <row r="24" spans="1:28" x14ac:dyDescent="0.25">
      <c r="A24" t="s">
        <v>203</v>
      </c>
      <c r="B24" t="s">
        <v>1058</v>
      </c>
      <c r="C24" s="430">
        <v>19613.87</v>
      </c>
      <c r="D24" s="430">
        <v>8995</v>
      </c>
      <c r="E24" s="430">
        <v>28608.87</v>
      </c>
      <c r="F24" s="430">
        <v>1029</v>
      </c>
      <c r="G24" s="430">
        <v>27579.87</v>
      </c>
      <c r="H24" s="430">
        <v>8999.5</v>
      </c>
      <c r="I24" s="430">
        <v>17265.240000000002</v>
      </c>
      <c r="J24" s="430">
        <v>53844.61</v>
      </c>
      <c r="K24" s="430">
        <v>36235.81</v>
      </c>
      <c r="L24" s="430">
        <v>17608.800000000003</v>
      </c>
      <c r="M24" s="430">
        <v>9046.75</v>
      </c>
      <c r="N24" s="430">
        <v>26655.550000000003</v>
      </c>
      <c r="O24" s="433">
        <v>10636.43</v>
      </c>
      <c r="P24" s="430">
        <v>16019.120000000003</v>
      </c>
      <c r="Q24" s="430" t="e">
        <v>#REF!</v>
      </c>
      <c r="R24" s="430">
        <v>25081.620000000003</v>
      </c>
      <c r="S24" s="430">
        <v>15464.56</v>
      </c>
      <c r="T24" s="430">
        <v>9617.0600000000031</v>
      </c>
      <c r="U24" s="430">
        <v>9069.25</v>
      </c>
      <c r="V24" s="430">
        <v>18686.310000000005</v>
      </c>
      <c r="W24" s="430">
        <v>-1076.6099999999999</v>
      </c>
      <c r="X24" s="430">
        <v>19762.920000000002</v>
      </c>
      <c r="Y24" s="430">
        <v>8927.5</v>
      </c>
      <c r="Z24" s="430">
        <v>28690.420000000002</v>
      </c>
      <c r="AB24" s="430"/>
    </row>
    <row r="25" spans="1:28" x14ac:dyDescent="0.25">
      <c r="A25" t="s">
        <v>205</v>
      </c>
      <c r="B25" t="s">
        <v>1057</v>
      </c>
      <c r="C25" s="430">
        <v>16805.079999999998</v>
      </c>
      <c r="D25" s="430">
        <v>8365</v>
      </c>
      <c r="E25" s="430">
        <v>25170.079999999998</v>
      </c>
      <c r="F25" s="430">
        <v>1789.75</v>
      </c>
      <c r="G25" s="430">
        <v>23380.329999999998</v>
      </c>
      <c r="H25" s="430">
        <v>8747.5</v>
      </c>
      <c r="I25" s="430">
        <v>16546.2</v>
      </c>
      <c r="J25" s="430">
        <v>48674.03</v>
      </c>
      <c r="K25" s="430">
        <v>25210</v>
      </c>
      <c r="L25" s="430">
        <v>23464.03</v>
      </c>
      <c r="M25" s="430">
        <v>8736.25</v>
      </c>
      <c r="N25" s="430">
        <v>32200.28</v>
      </c>
      <c r="O25" s="430">
        <v>11886.14</v>
      </c>
      <c r="P25" s="430">
        <v>20314.14</v>
      </c>
      <c r="Q25" s="430" t="e">
        <v>#REF!</v>
      </c>
      <c r="R25" s="430">
        <v>29050.39</v>
      </c>
      <c r="S25" s="430">
        <v>0</v>
      </c>
      <c r="T25" s="430">
        <v>29050.39</v>
      </c>
      <c r="U25" s="430">
        <v>8736.25</v>
      </c>
      <c r="V25" s="430">
        <v>37786.639999999999</v>
      </c>
      <c r="W25" s="430">
        <v>10560</v>
      </c>
      <c r="X25" s="430">
        <v>27226.639999999999</v>
      </c>
      <c r="Y25" s="430">
        <v>8736.25</v>
      </c>
      <c r="Z25" s="430">
        <v>35962.89</v>
      </c>
      <c r="AB25" s="430"/>
    </row>
    <row r="26" spans="1:28" x14ac:dyDescent="0.25">
      <c r="A26" t="s">
        <v>207</v>
      </c>
      <c r="B26" t="s">
        <v>1056</v>
      </c>
      <c r="C26" s="430">
        <v>24505.200000000001</v>
      </c>
      <c r="D26" s="430">
        <v>9199.75</v>
      </c>
      <c r="E26" s="430">
        <v>33704.949999999997</v>
      </c>
      <c r="F26" s="430">
        <v>17757.669999999998</v>
      </c>
      <c r="G26" s="430">
        <v>15947.279999999999</v>
      </c>
      <c r="H26" s="430">
        <v>9188.5</v>
      </c>
      <c r="I26" s="430">
        <v>17804.52</v>
      </c>
      <c r="J26" s="430">
        <v>42940.3</v>
      </c>
      <c r="K26" s="430">
        <v>0</v>
      </c>
      <c r="L26" s="430">
        <v>42940.3</v>
      </c>
      <c r="M26" s="430">
        <v>9161.5</v>
      </c>
      <c r="N26" s="430">
        <v>52101.8</v>
      </c>
      <c r="O26" s="433">
        <v>36669.58</v>
      </c>
      <c r="P26" s="430">
        <v>15432.220000000001</v>
      </c>
      <c r="Q26" s="430" t="e">
        <v>#REF!</v>
      </c>
      <c r="R26" s="430">
        <v>24658.97</v>
      </c>
      <c r="S26" s="430">
        <v>16320</v>
      </c>
      <c r="T26" s="430">
        <v>8338.9700000000012</v>
      </c>
      <c r="U26" s="430">
        <v>9244.75</v>
      </c>
      <c r="V26" s="430">
        <v>17583.72</v>
      </c>
      <c r="W26" s="430">
        <v>44637</v>
      </c>
      <c r="X26" s="430">
        <v>-27053.279999999999</v>
      </c>
      <c r="Y26" s="430">
        <v>9161.5</v>
      </c>
      <c r="Z26" s="430">
        <v>-17891.78</v>
      </c>
      <c r="AB26" s="430"/>
    </row>
    <row r="27" spans="1:28" x14ac:dyDescent="0.25">
      <c r="A27" t="s">
        <v>209</v>
      </c>
      <c r="B27" t="s">
        <v>1055</v>
      </c>
      <c r="C27" s="430">
        <v>18109</v>
      </c>
      <c r="D27" s="430">
        <v>9132.25</v>
      </c>
      <c r="E27" s="430">
        <v>27241.25</v>
      </c>
      <c r="F27" s="430">
        <v>27241.25</v>
      </c>
      <c r="G27" s="430">
        <v>0</v>
      </c>
      <c r="H27" s="430">
        <v>9089.5</v>
      </c>
      <c r="I27" s="430">
        <v>17522.04</v>
      </c>
      <c r="J27" s="430">
        <v>26611.54</v>
      </c>
      <c r="K27" s="430">
        <v>0</v>
      </c>
      <c r="L27" s="430">
        <v>26611.54</v>
      </c>
      <c r="M27" s="430">
        <v>8990.5</v>
      </c>
      <c r="N27" s="430">
        <v>35602.04</v>
      </c>
      <c r="O27" s="430">
        <v>0</v>
      </c>
      <c r="P27" s="430">
        <v>35602.04</v>
      </c>
      <c r="Q27" s="430" t="e">
        <v>#REF!</v>
      </c>
      <c r="R27" s="430">
        <v>44633.04</v>
      </c>
      <c r="S27" s="430">
        <v>28668</v>
      </c>
      <c r="T27" s="430">
        <v>15965.04</v>
      </c>
      <c r="U27" s="430">
        <v>9058</v>
      </c>
      <c r="V27" s="430">
        <v>25023.040000000001</v>
      </c>
      <c r="W27" s="430">
        <v>0</v>
      </c>
      <c r="X27" s="430">
        <v>25023.040000000001</v>
      </c>
      <c r="Y27" s="430">
        <v>9026.5</v>
      </c>
      <c r="Z27" s="430">
        <v>34049.54</v>
      </c>
      <c r="AB27" s="430"/>
    </row>
    <row r="28" spans="1:28" x14ac:dyDescent="0.25">
      <c r="A28" t="s">
        <v>213</v>
      </c>
      <c r="B28" t="s">
        <v>1054</v>
      </c>
      <c r="C28" s="430">
        <v>7310.119999999999</v>
      </c>
      <c r="D28" s="430">
        <v>6515.5</v>
      </c>
      <c r="E28" s="430">
        <v>13825.619999999999</v>
      </c>
      <c r="F28" s="430">
        <v>13825.62</v>
      </c>
      <c r="G28" s="430">
        <v>0</v>
      </c>
      <c r="H28" s="430">
        <v>6461.5</v>
      </c>
      <c r="I28" s="430">
        <v>10023.48</v>
      </c>
      <c r="J28" s="430">
        <v>16484.98</v>
      </c>
      <c r="K28" s="430">
        <v>0</v>
      </c>
      <c r="L28" s="430">
        <v>16484.98</v>
      </c>
      <c r="M28" s="430">
        <v>6488.5</v>
      </c>
      <c r="N28" s="430">
        <v>22973.48</v>
      </c>
      <c r="O28" s="430">
        <v>22973</v>
      </c>
      <c r="P28" s="430">
        <v>0.47999999999956344</v>
      </c>
      <c r="Q28" s="430" t="e">
        <v>#REF!</v>
      </c>
      <c r="R28" s="430">
        <v>6504.73</v>
      </c>
      <c r="S28" s="430">
        <v>6504</v>
      </c>
      <c r="T28" s="430">
        <v>0.72999999999956344</v>
      </c>
      <c r="U28" s="430">
        <v>6459.25</v>
      </c>
      <c r="V28" s="430">
        <v>6459.98</v>
      </c>
      <c r="W28" s="430">
        <v>0</v>
      </c>
      <c r="X28" s="430">
        <v>6459.98</v>
      </c>
      <c r="Y28" s="430">
        <v>6434.5</v>
      </c>
      <c r="Z28" s="430">
        <v>12894.48</v>
      </c>
      <c r="AB28" s="430"/>
    </row>
    <row r="29" spans="1:28" x14ac:dyDescent="0.25">
      <c r="A29" t="s">
        <v>215</v>
      </c>
      <c r="B29" t="s">
        <v>1053</v>
      </c>
      <c r="C29" s="430">
        <v>4739.57</v>
      </c>
      <c r="D29" s="430">
        <v>13481.5</v>
      </c>
      <c r="E29" s="430">
        <v>18221.07</v>
      </c>
      <c r="F29" s="430">
        <v>2249.9699999999998</v>
      </c>
      <c r="G29" s="430">
        <v>15971.1</v>
      </c>
      <c r="H29" s="430">
        <v>13846</v>
      </c>
      <c r="I29" s="430">
        <v>31093.919999999998</v>
      </c>
      <c r="J29" s="430">
        <v>60911.02</v>
      </c>
      <c r="K29" s="430">
        <v>0</v>
      </c>
      <c r="L29" s="430">
        <v>60911.02</v>
      </c>
      <c r="M29" s="430">
        <v>14127.25</v>
      </c>
      <c r="N29" s="430">
        <v>75038.26999999999</v>
      </c>
      <c r="O29" s="430">
        <v>49064</v>
      </c>
      <c r="P29" s="430">
        <v>25974.26999999999</v>
      </c>
      <c r="Q29" s="430" t="e">
        <v>#REF!</v>
      </c>
      <c r="R29" s="430">
        <v>39833.76999999999</v>
      </c>
      <c r="S29" s="430">
        <v>19691.75</v>
      </c>
      <c r="T29" s="430">
        <v>20142.01999999999</v>
      </c>
      <c r="U29" s="430">
        <v>13740.25</v>
      </c>
      <c r="V29" s="430">
        <v>33882.26999999999</v>
      </c>
      <c r="W29" s="430">
        <v>32517.84</v>
      </c>
      <c r="X29" s="430">
        <v>1364.4299999999894</v>
      </c>
      <c r="Y29" s="430">
        <v>13470.25</v>
      </c>
      <c r="Z29" s="430">
        <v>14834.679999999989</v>
      </c>
      <c r="AB29" s="430"/>
    </row>
    <row r="30" spans="1:28" x14ac:dyDescent="0.25">
      <c r="A30" t="s">
        <v>217</v>
      </c>
      <c r="B30" t="s">
        <v>1052</v>
      </c>
      <c r="C30" s="430">
        <v>-0.40000000000145519</v>
      </c>
      <c r="D30" s="430">
        <v>7071.25</v>
      </c>
      <c r="E30" s="430">
        <v>7070.8499999999985</v>
      </c>
      <c r="F30" s="430"/>
      <c r="G30" s="430">
        <v>7070.8499999999985</v>
      </c>
      <c r="H30" s="430">
        <v>7397.5</v>
      </c>
      <c r="I30" s="430">
        <v>12694.2</v>
      </c>
      <c r="J30" s="430">
        <v>27162.55</v>
      </c>
      <c r="K30" s="430">
        <v>0</v>
      </c>
      <c r="L30" s="430">
        <v>27162.55</v>
      </c>
      <c r="M30" s="430">
        <v>7780</v>
      </c>
      <c r="N30" s="430">
        <v>34942.550000000003</v>
      </c>
      <c r="O30" s="430">
        <v>29521.39</v>
      </c>
      <c r="P30" s="430">
        <v>5421.1600000000035</v>
      </c>
      <c r="Q30" s="430" t="e">
        <v>#REF!</v>
      </c>
      <c r="R30" s="430">
        <v>13426.160000000003</v>
      </c>
      <c r="S30" s="430">
        <v>6200</v>
      </c>
      <c r="T30" s="430">
        <v>7226.1600000000035</v>
      </c>
      <c r="U30" s="430">
        <v>7819.38</v>
      </c>
      <c r="V30" s="430">
        <v>15045.540000000005</v>
      </c>
      <c r="W30" s="430">
        <v>0</v>
      </c>
      <c r="X30" s="430">
        <v>15045.540000000005</v>
      </c>
      <c r="Y30" s="430">
        <v>8111.88</v>
      </c>
      <c r="Z30" s="430">
        <v>23157.420000000006</v>
      </c>
      <c r="AB30" s="430"/>
    </row>
    <row r="31" spans="1:28" x14ac:dyDescent="0.25">
      <c r="A31" t="s">
        <v>219</v>
      </c>
      <c r="B31" t="s">
        <v>1051</v>
      </c>
      <c r="C31" s="430">
        <v>37336</v>
      </c>
      <c r="D31" s="430">
        <v>8736.25</v>
      </c>
      <c r="E31" s="430">
        <v>46072.25</v>
      </c>
      <c r="F31" s="430">
        <v>35616</v>
      </c>
      <c r="G31" s="430">
        <v>10456.25</v>
      </c>
      <c r="H31" s="430">
        <v>8736.25</v>
      </c>
      <c r="I31" s="430">
        <v>16514.099999999999</v>
      </c>
      <c r="J31" s="430">
        <v>35706.6</v>
      </c>
      <c r="K31" s="430">
        <v>18431.5</v>
      </c>
      <c r="L31" s="430">
        <v>17275.099999999999</v>
      </c>
      <c r="M31" s="430">
        <v>8725</v>
      </c>
      <c r="N31" s="430">
        <v>26000.1</v>
      </c>
      <c r="O31" s="430">
        <v>25694.95</v>
      </c>
      <c r="P31" s="430">
        <v>305.14999999999782</v>
      </c>
      <c r="Q31" s="430" t="e">
        <v>#REF!</v>
      </c>
      <c r="R31" s="430">
        <v>9131.3999999999978</v>
      </c>
      <c r="S31" s="430">
        <v>9131.41</v>
      </c>
      <c r="T31" s="430">
        <v>-1.0000000002037268E-2</v>
      </c>
      <c r="U31" s="430">
        <v>9116.5</v>
      </c>
      <c r="V31" s="430">
        <v>9116.489999999998</v>
      </c>
      <c r="W31" s="430">
        <v>0</v>
      </c>
      <c r="X31" s="430">
        <v>9116.489999999998</v>
      </c>
      <c r="Y31" s="430">
        <v>9087.25</v>
      </c>
      <c r="Z31" s="430">
        <v>18203.739999999998</v>
      </c>
      <c r="AB31" s="430"/>
    </row>
    <row r="32" spans="1:28" x14ac:dyDescent="0.25">
      <c r="A32" t="s">
        <v>1050</v>
      </c>
      <c r="B32" s="42" t="s">
        <v>1049</v>
      </c>
      <c r="C32" s="430">
        <v>25942.05</v>
      </c>
      <c r="D32" s="430">
        <v>8646.25</v>
      </c>
      <c r="E32" s="430">
        <v>34588.300000000003</v>
      </c>
      <c r="F32" s="430">
        <v>1974</v>
      </c>
      <c r="G32" s="430">
        <v>32614.300000000003</v>
      </c>
      <c r="H32" s="430">
        <v>8668.75</v>
      </c>
      <c r="I32" s="430">
        <v>16321.5</v>
      </c>
      <c r="J32" s="430">
        <v>57604.55</v>
      </c>
      <c r="K32" s="430">
        <v>0</v>
      </c>
      <c r="L32" s="430">
        <v>57604.55</v>
      </c>
      <c r="M32" s="430">
        <v>0</v>
      </c>
      <c r="N32" s="430">
        <v>57604.55</v>
      </c>
      <c r="O32" s="430">
        <v>0</v>
      </c>
      <c r="P32" s="430">
        <v>57604.55</v>
      </c>
      <c r="Q32" s="432"/>
      <c r="R32" s="430">
        <v>57604.55</v>
      </c>
      <c r="S32" s="430">
        <v>0</v>
      </c>
      <c r="T32" s="430">
        <v>57604.55</v>
      </c>
      <c r="U32" s="430"/>
      <c r="V32" s="430">
        <v>57604.55</v>
      </c>
      <c r="W32" s="430">
        <v>0</v>
      </c>
      <c r="X32" s="430">
        <v>57604.55</v>
      </c>
      <c r="Y32" s="430">
        <v>0</v>
      </c>
      <c r="Z32" s="430">
        <v>57604.55</v>
      </c>
      <c r="AB32" s="430"/>
    </row>
    <row r="33" spans="1:28" x14ac:dyDescent="0.25">
      <c r="A33" t="s">
        <v>221</v>
      </c>
      <c r="B33" s="42" t="s">
        <v>1048</v>
      </c>
      <c r="C33" s="430">
        <v>0</v>
      </c>
      <c r="D33" s="430">
        <v>8401</v>
      </c>
      <c r="E33" s="430">
        <v>8401</v>
      </c>
      <c r="F33" s="430"/>
      <c r="G33" s="430">
        <v>8401</v>
      </c>
      <c r="H33" s="430">
        <v>8394.25</v>
      </c>
      <c r="I33" s="430">
        <v>15538.26</v>
      </c>
      <c r="J33" s="430">
        <v>32333.510000000002</v>
      </c>
      <c r="K33" s="430">
        <v>16765</v>
      </c>
      <c r="L33" s="430">
        <v>15568.510000000002</v>
      </c>
      <c r="M33" s="430">
        <v>8376.25</v>
      </c>
      <c r="N33" s="430">
        <v>23944.760000000002</v>
      </c>
      <c r="O33" s="430">
        <v>15925</v>
      </c>
      <c r="P33" s="430">
        <v>8019.760000000002</v>
      </c>
      <c r="Q33" s="430" t="e">
        <v>#REF!</v>
      </c>
      <c r="R33" s="430">
        <v>16375.760000000002</v>
      </c>
      <c r="S33" s="430">
        <v>16376</v>
      </c>
      <c r="T33" s="430">
        <v>-0.23999999999796273</v>
      </c>
      <c r="U33" s="430">
        <v>8394.25</v>
      </c>
      <c r="V33" s="430">
        <v>8394.010000000002</v>
      </c>
      <c r="W33" s="430">
        <v>0</v>
      </c>
      <c r="X33" s="430">
        <v>8394.010000000002</v>
      </c>
      <c r="Y33" s="430">
        <v>8423.5</v>
      </c>
      <c r="Z33" s="430">
        <v>16817.510000000002</v>
      </c>
      <c r="AB33" s="430"/>
    </row>
    <row r="34" spans="1:28" x14ac:dyDescent="0.25">
      <c r="A34" t="s">
        <v>223</v>
      </c>
      <c r="B34" s="42" t="s">
        <v>1047</v>
      </c>
      <c r="C34" s="430">
        <v>13413</v>
      </c>
      <c r="D34" s="430">
        <v>9073.75</v>
      </c>
      <c r="E34" s="430">
        <v>22486.75</v>
      </c>
      <c r="F34" s="430"/>
      <c r="G34" s="430">
        <v>22486.75</v>
      </c>
      <c r="H34" s="430">
        <v>9400</v>
      </c>
      <c r="I34" s="430">
        <v>18408</v>
      </c>
      <c r="J34" s="430">
        <v>50294.75</v>
      </c>
      <c r="K34" s="430">
        <v>31887</v>
      </c>
      <c r="L34" s="430">
        <v>18407.75</v>
      </c>
      <c r="M34" s="430">
        <v>9377.5</v>
      </c>
      <c r="N34" s="430">
        <v>27785.25</v>
      </c>
      <c r="O34" s="430">
        <v>24414</v>
      </c>
      <c r="P34" s="430">
        <v>3371.25</v>
      </c>
      <c r="Q34" s="430" t="e">
        <v>#REF!</v>
      </c>
      <c r="R34" s="430">
        <v>12771.25</v>
      </c>
      <c r="S34" s="430">
        <v>12771</v>
      </c>
      <c r="T34" s="430">
        <v>0.25</v>
      </c>
      <c r="U34" s="430">
        <v>9400</v>
      </c>
      <c r="V34" s="430">
        <v>9400.25</v>
      </c>
      <c r="W34" s="430">
        <v>0</v>
      </c>
      <c r="X34" s="430">
        <v>9400.25</v>
      </c>
      <c r="Y34" s="430">
        <v>9355</v>
      </c>
      <c r="Z34" s="430">
        <v>18755.25</v>
      </c>
      <c r="AB34" s="430"/>
    </row>
    <row r="35" spans="1:28" x14ac:dyDescent="0.25">
      <c r="A35" t="s">
        <v>225</v>
      </c>
      <c r="B35" t="s">
        <v>1046</v>
      </c>
      <c r="C35" s="430">
        <v>0</v>
      </c>
      <c r="D35" s="430">
        <v>8736.25</v>
      </c>
      <c r="E35" s="430">
        <v>8736.25</v>
      </c>
      <c r="F35" s="430">
        <v>8736</v>
      </c>
      <c r="G35" s="430">
        <v>0.25</v>
      </c>
      <c r="H35" s="430">
        <v>8747.5</v>
      </c>
      <c r="I35" s="430">
        <v>16546.2</v>
      </c>
      <c r="J35" s="430">
        <v>25293.95</v>
      </c>
      <c r="K35" s="430">
        <v>10587.43</v>
      </c>
      <c r="L35" s="430">
        <v>14706.52</v>
      </c>
      <c r="M35" s="430">
        <v>8758.75</v>
      </c>
      <c r="N35" s="430">
        <v>23465.27</v>
      </c>
      <c r="O35" s="430">
        <v>13622.92</v>
      </c>
      <c r="P35" s="430">
        <v>9842.35</v>
      </c>
      <c r="Q35" s="430" t="e">
        <v>#REF!</v>
      </c>
      <c r="R35" s="430">
        <v>18556.099999999999</v>
      </c>
      <c r="S35" s="430">
        <v>9568</v>
      </c>
      <c r="T35" s="430">
        <v>8988.0999999999985</v>
      </c>
      <c r="U35" s="430">
        <v>8713.75</v>
      </c>
      <c r="V35" s="430">
        <v>17701.849999999999</v>
      </c>
      <c r="W35" s="430">
        <v>14426.64</v>
      </c>
      <c r="X35" s="430">
        <v>3275.2099999999991</v>
      </c>
      <c r="Y35" s="430">
        <v>8736.25</v>
      </c>
      <c r="Z35" s="430">
        <v>12011.46</v>
      </c>
      <c r="AB35" s="430"/>
    </row>
    <row r="36" spans="1:28" x14ac:dyDescent="0.25">
      <c r="A36" t="s">
        <v>229</v>
      </c>
      <c r="B36" t="s">
        <v>1045</v>
      </c>
      <c r="C36" s="430">
        <v>8691.0400000000009</v>
      </c>
      <c r="D36" s="430">
        <v>8727.25</v>
      </c>
      <c r="E36" s="430">
        <v>17418.29</v>
      </c>
      <c r="F36" s="430">
        <v>3737.99</v>
      </c>
      <c r="G36" s="430">
        <v>13680.300000000001</v>
      </c>
      <c r="H36" s="430">
        <v>8797</v>
      </c>
      <c r="I36" s="430">
        <v>16687.439999999999</v>
      </c>
      <c r="J36" s="430">
        <v>39164.740000000005</v>
      </c>
      <c r="K36" s="430">
        <v>11557.75</v>
      </c>
      <c r="L36" s="430">
        <v>27606.990000000005</v>
      </c>
      <c r="M36" s="430">
        <v>8722.75</v>
      </c>
      <c r="N36" s="430">
        <v>36329.740000000005</v>
      </c>
      <c r="O36" s="430">
        <v>14086.06</v>
      </c>
      <c r="P36" s="430">
        <v>22243.680000000008</v>
      </c>
      <c r="Q36" s="430" t="e">
        <v>#REF!</v>
      </c>
      <c r="R36" s="430">
        <v>30925.930000000008</v>
      </c>
      <c r="S36" s="430">
        <v>0</v>
      </c>
      <c r="T36" s="430">
        <v>30925.930000000008</v>
      </c>
      <c r="U36" s="430">
        <v>8655.25</v>
      </c>
      <c r="V36" s="430">
        <v>39581.180000000008</v>
      </c>
      <c r="W36" s="430">
        <v>0</v>
      </c>
      <c r="X36" s="430">
        <v>39581.180000000008</v>
      </c>
      <c r="Y36" s="430">
        <v>8722.75</v>
      </c>
      <c r="Z36" s="430">
        <v>48303.930000000008</v>
      </c>
      <c r="AB36" s="430"/>
    </row>
    <row r="37" spans="1:28" x14ac:dyDescent="0.25">
      <c r="A37" t="s">
        <v>231</v>
      </c>
      <c r="B37" t="s">
        <v>1044</v>
      </c>
      <c r="C37" s="430">
        <v>6503</v>
      </c>
      <c r="D37" s="430">
        <v>6216.25</v>
      </c>
      <c r="E37" s="430">
        <v>12719.25</v>
      </c>
      <c r="F37" s="430">
        <v>5325</v>
      </c>
      <c r="G37" s="430">
        <v>7394.25</v>
      </c>
      <c r="H37" s="430">
        <v>6306.25</v>
      </c>
      <c r="I37" s="430">
        <v>9580.5</v>
      </c>
      <c r="J37" s="430">
        <v>23281</v>
      </c>
      <c r="K37" s="430">
        <v>9029.7999999999993</v>
      </c>
      <c r="L37" s="430">
        <v>14251.2</v>
      </c>
      <c r="M37" s="430">
        <v>6493</v>
      </c>
      <c r="N37" s="430">
        <v>20744.2</v>
      </c>
      <c r="O37" s="430">
        <v>20000</v>
      </c>
      <c r="P37" s="430">
        <v>744.20000000000073</v>
      </c>
      <c r="Q37" s="430" t="e">
        <v>#REF!</v>
      </c>
      <c r="R37" s="430">
        <v>7351.9500000000007</v>
      </c>
      <c r="S37" s="430">
        <v>0</v>
      </c>
      <c r="T37" s="430">
        <v>7351.9500000000007</v>
      </c>
      <c r="U37" s="430">
        <v>6604.38</v>
      </c>
      <c r="V37" s="430">
        <v>13956.330000000002</v>
      </c>
      <c r="W37" s="430">
        <v>0</v>
      </c>
      <c r="X37" s="430">
        <v>13956.330000000002</v>
      </c>
      <c r="Y37" s="430">
        <v>6557.12</v>
      </c>
      <c r="Z37" s="430">
        <v>20513.45</v>
      </c>
      <c r="AB37" s="430"/>
    </row>
    <row r="38" spans="1:28" x14ac:dyDescent="0.25">
      <c r="A38" t="s">
        <v>233</v>
      </c>
      <c r="B38" t="s">
        <v>1043</v>
      </c>
      <c r="C38" s="430">
        <v>-0.3000000000001819</v>
      </c>
      <c r="D38" s="430">
        <v>6362.5</v>
      </c>
      <c r="E38" s="430">
        <v>6362.2</v>
      </c>
      <c r="F38" s="430">
        <v>6359</v>
      </c>
      <c r="G38" s="430">
        <v>3.1999999999998181</v>
      </c>
      <c r="H38" s="430">
        <v>6362.5</v>
      </c>
      <c r="I38" s="430">
        <v>9741</v>
      </c>
      <c r="J38" s="430">
        <v>16106.7</v>
      </c>
      <c r="K38" s="430">
        <v>3536.2</v>
      </c>
      <c r="L38" s="430">
        <v>12570.5</v>
      </c>
      <c r="M38" s="430">
        <v>6362.5</v>
      </c>
      <c r="N38" s="430">
        <v>18933</v>
      </c>
      <c r="O38" s="430">
        <v>14731.5</v>
      </c>
      <c r="P38" s="430">
        <v>4201.5</v>
      </c>
      <c r="Q38" s="430" t="e">
        <v>#REF!</v>
      </c>
      <c r="R38" s="430">
        <v>10575.25</v>
      </c>
      <c r="S38" s="430">
        <v>1365</v>
      </c>
      <c r="T38" s="430">
        <v>9210.25</v>
      </c>
      <c r="U38" s="430">
        <v>6373.75</v>
      </c>
      <c r="V38" s="430">
        <v>15584</v>
      </c>
      <c r="W38" s="430">
        <v>6359.7999999999993</v>
      </c>
      <c r="X38" s="430">
        <v>9224.2000000000007</v>
      </c>
      <c r="Y38" s="430">
        <v>6328.75</v>
      </c>
      <c r="Z38" s="430">
        <v>15552.95</v>
      </c>
      <c r="AB38" s="430"/>
    </row>
    <row r="39" spans="1:28" x14ac:dyDescent="0.25">
      <c r="A39" t="s">
        <v>235</v>
      </c>
      <c r="B39" t="s">
        <v>1042</v>
      </c>
      <c r="C39" s="430">
        <v>41064</v>
      </c>
      <c r="D39" s="430">
        <v>8758.75</v>
      </c>
      <c r="E39" s="430">
        <v>49822.75</v>
      </c>
      <c r="F39" s="430">
        <v>19300</v>
      </c>
      <c r="G39" s="430">
        <v>30522.75</v>
      </c>
      <c r="H39" s="430">
        <v>8689</v>
      </c>
      <c r="I39" s="430">
        <v>16379.28</v>
      </c>
      <c r="J39" s="430">
        <v>55591.03</v>
      </c>
      <c r="K39" s="430">
        <v>40438.36</v>
      </c>
      <c r="L39" s="430">
        <v>15152.669999999998</v>
      </c>
      <c r="M39" s="430">
        <v>8279.5</v>
      </c>
      <c r="N39" s="430">
        <v>23432.17</v>
      </c>
      <c r="O39" s="430">
        <v>11552</v>
      </c>
      <c r="P39" s="430">
        <v>11880.169999999998</v>
      </c>
      <c r="Q39" s="430" t="e">
        <v>#REF!</v>
      </c>
      <c r="R39" s="430">
        <v>20238.419999999998</v>
      </c>
      <c r="S39" s="430">
        <v>12306.279999999999</v>
      </c>
      <c r="T39" s="430">
        <v>7932.1399999999994</v>
      </c>
      <c r="U39" s="430">
        <v>8065.75</v>
      </c>
      <c r="V39" s="430">
        <v>15997.89</v>
      </c>
      <c r="W39" s="430">
        <v>4690.6000000000004</v>
      </c>
      <c r="X39" s="430">
        <v>11307.289999999999</v>
      </c>
      <c r="Y39" s="430">
        <v>7953.25</v>
      </c>
      <c r="Z39" s="430">
        <v>19260.54</v>
      </c>
      <c r="AB39" s="430"/>
    </row>
    <row r="40" spans="1:28" x14ac:dyDescent="0.25">
      <c r="A40" s="42" t="s">
        <v>239</v>
      </c>
      <c r="B40" s="42" t="s">
        <v>1041</v>
      </c>
      <c r="C40" s="430">
        <v>0.34000000000014552</v>
      </c>
      <c r="D40" s="430">
        <v>7622.5</v>
      </c>
      <c r="E40" s="430">
        <v>7622.84</v>
      </c>
      <c r="F40" s="430">
        <v>7090</v>
      </c>
      <c r="G40" s="430">
        <v>532.84000000000015</v>
      </c>
      <c r="H40" s="430">
        <v>8016.25</v>
      </c>
      <c r="I40" s="430">
        <v>14459.7</v>
      </c>
      <c r="J40" s="430">
        <v>23008.79</v>
      </c>
      <c r="K40" s="430">
        <v>0</v>
      </c>
      <c r="L40" s="430">
        <v>23008.79</v>
      </c>
      <c r="M40" s="430">
        <v>8297.5</v>
      </c>
      <c r="N40" s="430">
        <v>31306.29</v>
      </c>
      <c r="O40" s="430">
        <v>8796</v>
      </c>
      <c r="P40" s="430">
        <v>22510.29</v>
      </c>
      <c r="Q40" s="430" t="e">
        <v>#REF!</v>
      </c>
      <c r="R40" s="430">
        <v>31156.54</v>
      </c>
      <c r="S40" s="430">
        <v>23208</v>
      </c>
      <c r="T40" s="430">
        <v>7948.5400000000009</v>
      </c>
      <c r="U40" s="430">
        <v>8646.25</v>
      </c>
      <c r="V40" s="430">
        <v>16594.79</v>
      </c>
      <c r="W40" s="430">
        <v>4328.050000000002</v>
      </c>
      <c r="X40" s="430">
        <v>12266.739999999998</v>
      </c>
      <c r="Y40" s="430">
        <v>8567.5</v>
      </c>
      <c r="Z40" s="430">
        <v>20834.239999999998</v>
      </c>
      <c r="AB40" s="430"/>
    </row>
    <row r="41" spans="1:28" x14ac:dyDescent="0.25">
      <c r="A41" t="s">
        <v>243</v>
      </c>
      <c r="B41" t="s">
        <v>1040</v>
      </c>
      <c r="C41" s="430">
        <v>2595.25</v>
      </c>
      <c r="D41" s="430">
        <v>6542.5</v>
      </c>
      <c r="E41" s="430">
        <v>9137.75</v>
      </c>
      <c r="F41" s="430">
        <v>8122.62</v>
      </c>
      <c r="G41" s="430">
        <v>1015.1300000000001</v>
      </c>
      <c r="H41" s="430">
        <v>6542.5</v>
      </c>
      <c r="I41" s="430">
        <v>10254.6</v>
      </c>
      <c r="J41" s="430">
        <v>17812.23</v>
      </c>
      <c r="K41" s="430">
        <v>2546</v>
      </c>
      <c r="L41" s="430">
        <v>15266.23</v>
      </c>
      <c r="M41" s="430">
        <v>6508.75</v>
      </c>
      <c r="N41" s="430">
        <v>21774.98</v>
      </c>
      <c r="O41" s="430">
        <v>18149.55</v>
      </c>
      <c r="P41" s="430">
        <v>3625.4300000000003</v>
      </c>
      <c r="Q41" s="430" t="e">
        <v>#REF!</v>
      </c>
      <c r="R41" s="430">
        <v>10120.68</v>
      </c>
      <c r="S41" s="430">
        <v>2670</v>
      </c>
      <c r="T41" s="430">
        <v>7450.68</v>
      </c>
      <c r="U41" s="430">
        <v>6389.5</v>
      </c>
      <c r="V41" s="430">
        <v>13840.18</v>
      </c>
      <c r="W41" s="430">
        <v>0</v>
      </c>
      <c r="X41" s="430">
        <v>13840.18</v>
      </c>
      <c r="Y41" s="430">
        <v>6380.5</v>
      </c>
      <c r="Z41" s="430">
        <v>20220.68</v>
      </c>
      <c r="AB41" s="430"/>
    </row>
    <row r="42" spans="1:28" x14ac:dyDescent="0.25">
      <c r="A42" t="s">
        <v>241</v>
      </c>
      <c r="B42" t="s">
        <v>1039</v>
      </c>
      <c r="C42" s="430">
        <v>20666.060000000001</v>
      </c>
      <c r="D42" s="430">
        <v>8736.25</v>
      </c>
      <c r="E42" s="430">
        <v>29402.31</v>
      </c>
      <c r="F42" s="430">
        <v>10191</v>
      </c>
      <c r="G42" s="430">
        <v>19211.310000000001</v>
      </c>
      <c r="H42" s="430">
        <v>8747.5</v>
      </c>
      <c r="I42" s="430">
        <v>16546.2</v>
      </c>
      <c r="J42" s="430">
        <v>44505.01</v>
      </c>
      <c r="K42" s="430">
        <v>12693.45</v>
      </c>
      <c r="L42" s="430">
        <v>31811.56</v>
      </c>
      <c r="M42" s="430">
        <v>8725</v>
      </c>
      <c r="N42" s="430">
        <v>40536.559999999998</v>
      </c>
      <c r="O42" s="430">
        <v>13776</v>
      </c>
      <c r="P42" s="430">
        <v>26760.559999999998</v>
      </c>
      <c r="Q42" s="430" t="e">
        <v>#REF!</v>
      </c>
      <c r="R42" s="430">
        <v>35508.06</v>
      </c>
      <c r="S42" s="430">
        <v>3212.55</v>
      </c>
      <c r="T42" s="430">
        <v>32295.51</v>
      </c>
      <c r="U42" s="430">
        <v>8736.25</v>
      </c>
      <c r="V42" s="430">
        <v>41031.759999999995</v>
      </c>
      <c r="W42" s="430">
        <v>15526.950000000004</v>
      </c>
      <c r="X42" s="430">
        <v>25504.80999999999</v>
      </c>
      <c r="Y42" s="430">
        <v>8736.25</v>
      </c>
      <c r="Z42" s="430">
        <v>34241.05999999999</v>
      </c>
      <c r="AB42" s="430"/>
    </row>
    <row r="43" spans="1:28" x14ac:dyDescent="0.25">
      <c r="A43" t="s">
        <v>245</v>
      </c>
      <c r="B43" t="s">
        <v>1038</v>
      </c>
      <c r="C43" s="430"/>
      <c r="D43" s="430"/>
      <c r="E43" s="430"/>
      <c r="F43" s="430"/>
      <c r="G43" s="430"/>
      <c r="H43" s="430"/>
      <c r="I43" s="430"/>
      <c r="J43" s="430"/>
      <c r="K43" s="430"/>
      <c r="L43" s="430"/>
      <c r="M43" s="434">
        <v>8455</v>
      </c>
      <c r="N43" s="430">
        <v>8455</v>
      </c>
      <c r="O43" s="430">
        <v>0</v>
      </c>
      <c r="P43" s="430">
        <v>8455</v>
      </c>
      <c r="Q43" s="430" t="e">
        <v>#REF!</v>
      </c>
      <c r="R43" s="430">
        <v>16876.25</v>
      </c>
      <c r="S43" s="430">
        <v>10097.290000000001</v>
      </c>
      <c r="T43" s="430">
        <v>6778.9599999999991</v>
      </c>
      <c r="U43" s="430">
        <v>8488.75</v>
      </c>
      <c r="V43" s="430">
        <v>15267.71</v>
      </c>
      <c r="W43" s="430">
        <v>4785</v>
      </c>
      <c r="X43" s="430">
        <v>10482.709999999999</v>
      </c>
      <c r="Y43" s="430">
        <v>8455</v>
      </c>
      <c r="Z43" s="430">
        <v>18937.71</v>
      </c>
      <c r="AB43" s="430"/>
    </row>
    <row r="44" spans="1:28" x14ac:dyDescent="0.25">
      <c r="A44" t="s">
        <v>247</v>
      </c>
      <c r="B44" t="s">
        <v>1037</v>
      </c>
      <c r="C44" s="430">
        <v>19093.449999999997</v>
      </c>
      <c r="D44" s="430">
        <v>8992.75</v>
      </c>
      <c r="E44" s="430">
        <v>28086.199999999997</v>
      </c>
      <c r="F44" s="430"/>
      <c r="G44" s="430">
        <v>28086.199999999997</v>
      </c>
      <c r="H44" s="430">
        <v>9073.75</v>
      </c>
      <c r="I44" s="430">
        <v>17477.099999999999</v>
      </c>
      <c r="J44" s="430">
        <v>54637.049999999996</v>
      </c>
      <c r="K44" s="430">
        <v>32698.7</v>
      </c>
      <c r="L44" s="430">
        <v>21938.349999999995</v>
      </c>
      <c r="M44" s="430">
        <v>9044.5</v>
      </c>
      <c r="N44" s="430">
        <v>30982.849999999995</v>
      </c>
      <c r="O44" s="430">
        <v>29918.15</v>
      </c>
      <c r="P44" s="430">
        <v>1064.6999999999935</v>
      </c>
      <c r="Q44" s="430" t="e">
        <v>#REF!</v>
      </c>
      <c r="R44" s="430">
        <v>10030.449999999993</v>
      </c>
      <c r="S44" s="430">
        <v>2034.75</v>
      </c>
      <c r="T44" s="430">
        <v>7995.6999999999935</v>
      </c>
      <c r="U44" s="430">
        <v>8875.75</v>
      </c>
      <c r="V44" s="430">
        <v>16871.449999999993</v>
      </c>
      <c r="W44" s="430">
        <v>0</v>
      </c>
      <c r="X44" s="430">
        <v>16871.449999999993</v>
      </c>
      <c r="Y44" s="430">
        <v>8587.75</v>
      </c>
      <c r="Z44" s="430">
        <v>25459.199999999993</v>
      </c>
      <c r="AB44" s="430"/>
    </row>
    <row r="45" spans="1:28" x14ac:dyDescent="0.25">
      <c r="A45" t="s">
        <v>249</v>
      </c>
      <c r="B45" t="s">
        <v>1036</v>
      </c>
      <c r="C45" s="430">
        <v>12599.300000000001</v>
      </c>
      <c r="D45" s="430">
        <v>8500</v>
      </c>
      <c r="E45" s="430">
        <v>21099.300000000003</v>
      </c>
      <c r="F45" s="430">
        <v>19060.52</v>
      </c>
      <c r="G45" s="430">
        <v>2038.7800000000025</v>
      </c>
      <c r="H45" s="430">
        <v>8511.25</v>
      </c>
      <c r="I45" s="430">
        <v>15872.1</v>
      </c>
      <c r="J45" s="430">
        <v>26422.130000000005</v>
      </c>
      <c r="K45" s="430">
        <v>0</v>
      </c>
      <c r="L45" s="430">
        <v>26422.130000000005</v>
      </c>
      <c r="M45" s="430">
        <v>8421.25</v>
      </c>
      <c r="N45" s="430">
        <v>34843.380000000005</v>
      </c>
      <c r="O45" s="430">
        <v>0</v>
      </c>
      <c r="P45" s="430">
        <v>34843.380000000005</v>
      </c>
      <c r="Q45" s="430" t="e">
        <v>#REF!</v>
      </c>
      <c r="R45" s="430">
        <v>43039.630000000005</v>
      </c>
      <c r="S45" s="430">
        <v>40658</v>
      </c>
      <c r="T45" s="430">
        <v>2381.6300000000047</v>
      </c>
      <c r="U45" s="430">
        <v>7757.5</v>
      </c>
      <c r="V45" s="430">
        <v>10139.130000000005</v>
      </c>
      <c r="W45" s="430">
        <v>0</v>
      </c>
      <c r="X45" s="430">
        <v>10139.130000000005</v>
      </c>
      <c r="Y45" s="430">
        <v>7622.5</v>
      </c>
      <c r="Z45" s="430">
        <v>17761.630000000005</v>
      </c>
      <c r="AB45" s="430"/>
    </row>
    <row r="46" spans="1:28" x14ac:dyDescent="0.25">
      <c r="A46" t="s">
        <v>251</v>
      </c>
      <c r="B46" t="s">
        <v>1035</v>
      </c>
      <c r="C46" s="430">
        <v>10536.14</v>
      </c>
      <c r="D46" s="430">
        <v>7699</v>
      </c>
      <c r="E46" s="430">
        <v>18235.14</v>
      </c>
      <c r="F46" s="430">
        <v>9206.59</v>
      </c>
      <c r="G46" s="430">
        <v>9028.5499999999993</v>
      </c>
      <c r="H46" s="430">
        <v>7802.5</v>
      </c>
      <c r="I46" s="430">
        <v>13849.8</v>
      </c>
      <c r="J46" s="430">
        <v>30680.85</v>
      </c>
      <c r="K46" s="430">
        <v>5753.48</v>
      </c>
      <c r="L46" s="430">
        <v>24927.37</v>
      </c>
      <c r="M46" s="430">
        <v>8016.25</v>
      </c>
      <c r="N46" s="430">
        <v>32943.619999999995</v>
      </c>
      <c r="O46" s="430">
        <v>25647.979999999996</v>
      </c>
      <c r="P46" s="430">
        <v>7295.6399999999994</v>
      </c>
      <c r="Q46" s="430" t="e">
        <v>#REF!</v>
      </c>
      <c r="R46" s="430">
        <v>15233.14</v>
      </c>
      <c r="S46" s="430">
        <v>14990.91</v>
      </c>
      <c r="T46" s="430">
        <v>242.22999999999956</v>
      </c>
      <c r="U46" s="430">
        <v>8038.75</v>
      </c>
      <c r="V46" s="430">
        <v>8280.98</v>
      </c>
      <c r="W46" s="430">
        <v>4294.6099999999997</v>
      </c>
      <c r="X46" s="430">
        <v>3986.37</v>
      </c>
      <c r="Y46" s="430">
        <v>7960</v>
      </c>
      <c r="Z46" s="430">
        <v>11946.369999999999</v>
      </c>
      <c r="AB46" s="430"/>
    </row>
    <row r="47" spans="1:28" x14ac:dyDescent="0.25">
      <c r="A47" t="s">
        <v>253</v>
      </c>
      <c r="B47" t="s">
        <v>1034</v>
      </c>
      <c r="C47" s="430">
        <v>32267.71</v>
      </c>
      <c r="D47" s="430">
        <v>11618.5</v>
      </c>
      <c r="E47" s="430">
        <v>43886.21</v>
      </c>
      <c r="F47" s="430">
        <v>31273.46</v>
      </c>
      <c r="G47" s="430">
        <v>12612.75</v>
      </c>
      <c r="H47" s="430">
        <v>11726.5</v>
      </c>
      <c r="I47" s="430">
        <v>25046.28</v>
      </c>
      <c r="J47" s="430">
        <v>49385.53</v>
      </c>
      <c r="K47" s="430">
        <v>19653.400000000001</v>
      </c>
      <c r="L47" s="430">
        <v>29732.129999999997</v>
      </c>
      <c r="M47" s="430">
        <v>11584.75</v>
      </c>
      <c r="N47" s="430">
        <v>41316.879999999997</v>
      </c>
      <c r="O47" s="430">
        <v>5530.1</v>
      </c>
      <c r="P47" s="430">
        <v>35786.78</v>
      </c>
      <c r="Q47" s="430" t="e">
        <v>#REF!</v>
      </c>
      <c r="R47" s="430">
        <v>47297.279999999999</v>
      </c>
      <c r="S47" s="430">
        <v>28144</v>
      </c>
      <c r="T47" s="430">
        <v>19153.28</v>
      </c>
      <c r="U47" s="430">
        <v>11588.12</v>
      </c>
      <c r="V47" s="430">
        <v>30741.4</v>
      </c>
      <c r="W47" s="430">
        <v>11764.75</v>
      </c>
      <c r="X47" s="430">
        <v>18976.650000000001</v>
      </c>
      <c r="Y47" s="430">
        <v>11493.85</v>
      </c>
      <c r="Z47" s="430">
        <v>30470.5</v>
      </c>
      <c r="AB47" s="430"/>
    </row>
    <row r="48" spans="1:28" x14ac:dyDescent="0.25">
      <c r="A48" t="s">
        <v>257</v>
      </c>
      <c r="B48" t="s">
        <v>1033</v>
      </c>
      <c r="C48" s="430">
        <v>2999.5</v>
      </c>
      <c r="D48" s="430">
        <v>6556</v>
      </c>
      <c r="E48" s="430">
        <v>9555.5</v>
      </c>
      <c r="F48" s="430"/>
      <c r="G48" s="430">
        <v>9555.5</v>
      </c>
      <c r="H48" s="430">
        <v>6569.5</v>
      </c>
      <c r="I48" s="430">
        <v>10331.64</v>
      </c>
      <c r="J48" s="430">
        <v>26456.639999999999</v>
      </c>
      <c r="K48" s="430">
        <v>0</v>
      </c>
      <c r="L48" s="430">
        <v>26456.639999999999</v>
      </c>
      <c r="M48" s="430">
        <v>6574</v>
      </c>
      <c r="N48" s="430">
        <v>33030.639999999999</v>
      </c>
      <c r="O48" s="430">
        <v>0</v>
      </c>
      <c r="P48" s="430">
        <v>33030.639999999999</v>
      </c>
      <c r="Q48" s="430" t="e">
        <v>#REF!</v>
      </c>
      <c r="R48" s="430">
        <v>39556.49</v>
      </c>
      <c r="S48" s="430">
        <v>3856.82</v>
      </c>
      <c r="T48" s="430">
        <v>35699.67</v>
      </c>
      <c r="U48" s="430">
        <v>6221.88</v>
      </c>
      <c r="V48" s="430">
        <v>41921.549999999996</v>
      </c>
      <c r="W48" s="430">
        <v>7972.9399999999987</v>
      </c>
      <c r="X48" s="430">
        <v>33948.61</v>
      </c>
      <c r="Y48" s="430">
        <v>6250</v>
      </c>
      <c r="Z48" s="430">
        <v>40198.61</v>
      </c>
      <c r="AB48" s="430"/>
    </row>
    <row r="49" spans="1:28" x14ac:dyDescent="0.25">
      <c r="A49" t="s">
        <v>259</v>
      </c>
      <c r="B49" t="s">
        <v>1032</v>
      </c>
      <c r="C49" s="430">
        <v>33106</v>
      </c>
      <c r="D49" s="430">
        <v>8401</v>
      </c>
      <c r="E49" s="430">
        <v>41507</v>
      </c>
      <c r="F49" s="430"/>
      <c r="G49" s="430">
        <v>41507</v>
      </c>
      <c r="H49" s="430">
        <v>8389.75</v>
      </c>
      <c r="I49" s="430">
        <v>15525.42</v>
      </c>
      <c r="J49" s="430">
        <v>65422.17</v>
      </c>
      <c r="K49" s="430">
        <v>8150</v>
      </c>
      <c r="L49" s="430">
        <v>57272.17</v>
      </c>
      <c r="M49" s="430">
        <v>8389.75</v>
      </c>
      <c r="N49" s="430">
        <v>65661.919999999998</v>
      </c>
      <c r="O49" s="430">
        <v>21909.71</v>
      </c>
      <c r="P49" s="430">
        <v>43752.21</v>
      </c>
      <c r="Q49" s="430" t="e">
        <v>#REF!</v>
      </c>
      <c r="R49" s="430">
        <v>52141.96</v>
      </c>
      <c r="S49" s="430">
        <v>19570</v>
      </c>
      <c r="T49" s="430">
        <v>32571.96</v>
      </c>
      <c r="U49" s="430">
        <v>8384.1200000000008</v>
      </c>
      <c r="V49" s="430">
        <v>40956.080000000002</v>
      </c>
      <c r="W49" s="430">
        <v>4481</v>
      </c>
      <c r="X49" s="430">
        <v>36475.08</v>
      </c>
      <c r="Y49" s="430">
        <v>8356</v>
      </c>
      <c r="Z49" s="430">
        <v>44831.08</v>
      </c>
      <c r="AB49" s="430"/>
    </row>
    <row r="50" spans="1:28" x14ac:dyDescent="0.25">
      <c r="A50" t="s">
        <v>261</v>
      </c>
      <c r="B50" s="42" t="s">
        <v>1031</v>
      </c>
      <c r="C50" s="430">
        <v>84163</v>
      </c>
      <c r="D50" s="430">
        <v>9062.5</v>
      </c>
      <c r="E50" s="430">
        <v>93225.5</v>
      </c>
      <c r="F50" s="430">
        <v>93225.5</v>
      </c>
      <c r="G50" s="430">
        <v>0</v>
      </c>
      <c r="H50" s="430">
        <v>9377.5</v>
      </c>
      <c r="I50" s="430">
        <v>18343.8</v>
      </c>
      <c r="J50" s="430">
        <v>27721.3</v>
      </c>
      <c r="K50" s="430">
        <v>9377.5</v>
      </c>
      <c r="L50" s="430">
        <v>18343.8</v>
      </c>
      <c r="M50" s="430">
        <v>9377.5</v>
      </c>
      <c r="N50" s="430">
        <v>27721.3</v>
      </c>
      <c r="O50" s="430">
        <v>0</v>
      </c>
      <c r="P50" s="430">
        <v>27721.3</v>
      </c>
      <c r="Q50" s="430" t="e">
        <v>#REF!</v>
      </c>
      <c r="R50" s="430">
        <v>37121.300000000003</v>
      </c>
      <c r="S50" s="430">
        <v>18343</v>
      </c>
      <c r="T50" s="430">
        <v>18778.300000000003</v>
      </c>
      <c r="U50" s="430">
        <v>9400</v>
      </c>
      <c r="V50" s="430">
        <v>28178.300000000003</v>
      </c>
      <c r="W50" s="430">
        <v>0</v>
      </c>
      <c r="X50" s="430">
        <v>28178.300000000003</v>
      </c>
      <c r="Y50" s="430">
        <v>9411.25</v>
      </c>
      <c r="Z50" s="430">
        <v>37589.550000000003</v>
      </c>
      <c r="AB50" s="430"/>
    </row>
    <row r="51" spans="1:28" x14ac:dyDescent="0.25">
      <c r="A51" t="s">
        <v>263</v>
      </c>
      <c r="B51" t="s">
        <v>1030</v>
      </c>
      <c r="C51" s="430">
        <v>-0.31000000000130967</v>
      </c>
      <c r="D51" s="430">
        <v>11053.75</v>
      </c>
      <c r="E51" s="430">
        <v>11053.439999999999</v>
      </c>
      <c r="F51" s="430">
        <v>9286</v>
      </c>
      <c r="G51" s="430">
        <v>1767.4399999999987</v>
      </c>
      <c r="H51" s="430">
        <v>11076.25</v>
      </c>
      <c r="I51" s="430">
        <v>23190.9</v>
      </c>
      <c r="J51" s="430">
        <v>36034.589999999997</v>
      </c>
      <c r="K51" s="430">
        <v>0</v>
      </c>
      <c r="L51" s="430">
        <v>36034.589999999997</v>
      </c>
      <c r="M51" s="430">
        <v>11053.75</v>
      </c>
      <c r="N51" s="430">
        <v>47088.34</v>
      </c>
      <c r="O51" s="430">
        <v>22592.69</v>
      </c>
      <c r="P51" s="430">
        <v>24495.649999999998</v>
      </c>
      <c r="Q51" s="430" t="e">
        <v>#REF!</v>
      </c>
      <c r="R51" s="430">
        <v>35886.899999999994</v>
      </c>
      <c r="S51" s="430">
        <v>24149.599999999999</v>
      </c>
      <c r="T51" s="430">
        <v>11737.299999999996</v>
      </c>
      <c r="U51" s="430">
        <v>11650</v>
      </c>
      <c r="V51" s="430">
        <v>23387.299999999996</v>
      </c>
      <c r="W51" s="430">
        <v>0</v>
      </c>
      <c r="X51" s="430">
        <v>23387.299999999996</v>
      </c>
      <c r="Y51" s="430">
        <v>11965</v>
      </c>
      <c r="Z51" s="430">
        <v>35352.299999999996</v>
      </c>
      <c r="AB51" s="430"/>
    </row>
    <row r="52" spans="1:28" x14ac:dyDescent="0.25">
      <c r="A52" t="s">
        <v>267</v>
      </c>
      <c r="B52" t="s">
        <v>1029</v>
      </c>
      <c r="C52" s="430">
        <v>0</v>
      </c>
      <c r="D52" s="430">
        <v>6605.5</v>
      </c>
      <c r="E52" s="430">
        <v>6605.5</v>
      </c>
      <c r="F52" s="430">
        <v>6291</v>
      </c>
      <c r="G52" s="430">
        <v>314.5</v>
      </c>
      <c r="H52" s="430">
        <v>6601</v>
      </c>
      <c r="I52" s="430">
        <v>10421.52</v>
      </c>
      <c r="J52" s="430">
        <v>17337.02</v>
      </c>
      <c r="K52" s="430">
        <v>6916</v>
      </c>
      <c r="L52" s="430">
        <v>10421.02</v>
      </c>
      <c r="M52" s="430">
        <v>6679.75</v>
      </c>
      <c r="N52" s="430">
        <v>17100.77</v>
      </c>
      <c r="O52" s="430">
        <v>17100.77</v>
      </c>
      <c r="P52" s="430">
        <v>0</v>
      </c>
      <c r="Q52" s="430" t="e">
        <v>#REF!</v>
      </c>
      <c r="R52" s="430">
        <v>6621.25</v>
      </c>
      <c r="S52" s="430">
        <v>0</v>
      </c>
      <c r="T52" s="430">
        <v>6621.25</v>
      </c>
      <c r="U52" s="430">
        <v>6622.38</v>
      </c>
      <c r="V52" s="430">
        <v>13243.630000000001</v>
      </c>
      <c r="W52" s="430">
        <v>3695</v>
      </c>
      <c r="X52" s="430">
        <v>9548.630000000001</v>
      </c>
      <c r="Y52" s="430">
        <v>6524.5</v>
      </c>
      <c r="Z52" s="430">
        <v>16073.130000000001</v>
      </c>
      <c r="AB52" s="430"/>
    </row>
    <row r="53" spans="1:28" x14ac:dyDescent="0.25">
      <c r="A53" t="s">
        <v>269</v>
      </c>
      <c r="B53" t="s">
        <v>1028</v>
      </c>
      <c r="C53" s="430">
        <v>5319.2600000000011</v>
      </c>
      <c r="D53" s="430">
        <v>8713.75</v>
      </c>
      <c r="E53" s="430">
        <v>14033.010000000002</v>
      </c>
      <c r="F53" s="430">
        <v>8520</v>
      </c>
      <c r="G53" s="430">
        <v>5513.010000000002</v>
      </c>
      <c r="H53" s="430">
        <v>8725</v>
      </c>
      <c r="I53" s="430">
        <v>16482</v>
      </c>
      <c r="J53" s="430">
        <v>30720.010000000002</v>
      </c>
      <c r="K53" s="430">
        <v>8812.75</v>
      </c>
      <c r="L53" s="430">
        <v>21907.260000000002</v>
      </c>
      <c r="M53" s="430">
        <v>8511.25</v>
      </c>
      <c r="N53" s="430">
        <v>30418.510000000002</v>
      </c>
      <c r="O53" s="433">
        <v>23730.38</v>
      </c>
      <c r="P53" s="430">
        <v>6688.130000000001</v>
      </c>
      <c r="Q53" s="430" t="e">
        <v>#REF!</v>
      </c>
      <c r="R53" s="430">
        <v>14861.880000000001</v>
      </c>
      <c r="S53" s="430">
        <v>11686</v>
      </c>
      <c r="T53" s="430">
        <v>3175.880000000001</v>
      </c>
      <c r="U53" s="430">
        <v>8027.5</v>
      </c>
      <c r="V53" s="430">
        <v>11203.380000000001</v>
      </c>
      <c r="W53" s="430">
        <v>0</v>
      </c>
      <c r="X53" s="430">
        <v>11203.380000000001</v>
      </c>
      <c r="Y53" s="430">
        <v>7971.25</v>
      </c>
      <c r="Z53" s="430">
        <v>19174.63</v>
      </c>
      <c r="AB53" s="430"/>
    </row>
    <row r="54" spans="1:28" x14ac:dyDescent="0.25">
      <c r="A54" t="s">
        <v>271</v>
      </c>
      <c r="B54" t="s">
        <v>1027</v>
      </c>
      <c r="C54" s="430">
        <v>11968.149999999998</v>
      </c>
      <c r="D54" s="430">
        <v>6340</v>
      </c>
      <c r="E54" s="430">
        <v>18308.149999999998</v>
      </c>
      <c r="F54" s="430">
        <v>10539.22</v>
      </c>
      <c r="G54" s="430">
        <v>7768.9299999999985</v>
      </c>
      <c r="H54" s="430">
        <v>6351.25</v>
      </c>
      <c r="I54" s="430">
        <v>9708.9</v>
      </c>
      <c r="J54" s="430">
        <v>23829.079999999998</v>
      </c>
      <c r="K54" s="430">
        <v>7769.1</v>
      </c>
      <c r="L54" s="430">
        <v>16059.979999999998</v>
      </c>
      <c r="M54" s="430">
        <v>6328.75</v>
      </c>
      <c r="N54" s="430">
        <v>22388.729999999996</v>
      </c>
      <c r="O54" s="430">
        <v>2499.6</v>
      </c>
      <c r="P54" s="430">
        <v>19889.129999999997</v>
      </c>
      <c r="Q54" s="430" t="e">
        <v>#REF!</v>
      </c>
      <c r="R54" s="430">
        <v>26206.629999999997</v>
      </c>
      <c r="S54" s="430">
        <v>21880.25</v>
      </c>
      <c r="T54" s="430">
        <v>4326.3799999999974</v>
      </c>
      <c r="U54" s="430">
        <v>6266.88</v>
      </c>
      <c r="V54" s="430">
        <v>10593.259999999998</v>
      </c>
      <c r="W54" s="430">
        <v>2931.2400000000002</v>
      </c>
      <c r="X54" s="430">
        <v>7662.0199999999986</v>
      </c>
      <c r="Y54" s="430">
        <v>6171.25</v>
      </c>
      <c r="Z54" s="430">
        <v>13833.269999999999</v>
      </c>
      <c r="AB54" s="430"/>
    </row>
    <row r="55" spans="1:28" x14ac:dyDescent="0.25">
      <c r="A55" t="s">
        <v>273</v>
      </c>
      <c r="B55" t="s">
        <v>1026</v>
      </c>
      <c r="C55" s="430">
        <v>18418</v>
      </c>
      <c r="D55" s="430">
        <v>6340</v>
      </c>
      <c r="E55" s="430">
        <v>24758</v>
      </c>
      <c r="F55" s="430"/>
      <c r="G55" s="430">
        <v>24758</v>
      </c>
      <c r="H55" s="430">
        <v>6333.25</v>
      </c>
      <c r="I55" s="430">
        <v>9657.5400000000009</v>
      </c>
      <c r="J55" s="430">
        <v>40748.79</v>
      </c>
      <c r="K55" s="430">
        <v>21895</v>
      </c>
      <c r="L55" s="430">
        <v>18853.79</v>
      </c>
      <c r="M55" s="430">
        <v>6355.3</v>
      </c>
      <c r="N55" s="430">
        <v>25209.09</v>
      </c>
      <c r="O55" s="430">
        <v>3668.56</v>
      </c>
      <c r="P55" s="430">
        <v>21540.53</v>
      </c>
      <c r="Q55" s="430" t="e">
        <v>#REF!</v>
      </c>
      <c r="R55" s="430">
        <v>27813.03</v>
      </c>
      <c r="S55" s="430">
        <v>6952.08</v>
      </c>
      <c r="T55" s="430">
        <v>20860.949999999997</v>
      </c>
      <c r="U55" s="430">
        <v>6243.25</v>
      </c>
      <c r="V55" s="430">
        <v>27104.199999999997</v>
      </c>
      <c r="W55" s="430">
        <v>0</v>
      </c>
      <c r="X55" s="430">
        <v>27104.199999999997</v>
      </c>
      <c r="Y55" s="430">
        <v>6299.5</v>
      </c>
      <c r="Z55" s="430">
        <v>33403.699999999997</v>
      </c>
      <c r="AB55" s="430"/>
    </row>
    <row r="56" spans="1:28" x14ac:dyDescent="0.25">
      <c r="A56" t="s">
        <v>277</v>
      </c>
      <c r="B56" t="s">
        <v>1025</v>
      </c>
      <c r="C56" s="430">
        <v>84</v>
      </c>
      <c r="D56" s="430">
        <v>8680</v>
      </c>
      <c r="E56" s="430">
        <v>8764</v>
      </c>
      <c r="F56" s="430">
        <v>1392.18</v>
      </c>
      <c r="G56" s="430">
        <v>7371.82</v>
      </c>
      <c r="H56" s="430">
        <v>8657.5</v>
      </c>
      <c r="I56" s="430">
        <v>16289.4</v>
      </c>
      <c r="J56" s="430">
        <v>32318.720000000001</v>
      </c>
      <c r="K56" s="430">
        <v>2825</v>
      </c>
      <c r="L56" s="430">
        <v>29493.72</v>
      </c>
      <c r="M56" s="430">
        <v>8657.5</v>
      </c>
      <c r="N56" s="430">
        <v>38151.22</v>
      </c>
      <c r="O56" s="430">
        <v>31147.800000000003</v>
      </c>
      <c r="P56" s="430">
        <v>7003.4199999999983</v>
      </c>
      <c r="Q56" s="430" t="e">
        <v>#REF!</v>
      </c>
      <c r="R56" s="430">
        <v>15694.669999999998</v>
      </c>
      <c r="S56" s="430">
        <v>0</v>
      </c>
      <c r="T56" s="430">
        <v>15694.669999999998</v>
      </c>
      <c r="U56" s="430">
        <v>8668.75</v>
      </c>
      <c r="V56" s="430">
        <v>24363.42</v>
      </c>
      <c r="W56" s="430">
        <v>9910.2500000000018</v>
      </c>
      <c r="X56" s="430">
        <v>14453.169999999996</v>
      </c>
      <c r="Y56" s="430">
        <v>8702.5</v>
      </c>
      <c r="Z56" s="430">
        <v>23155.67</v>
      </c>
      <c r="AB56" s="430"/>
    </row>
    <row r="57" spans="1:28" x14ac:dyDescent="0.25">
      <c r="A57" t="s">
        <v>279</v>
      </c>
      <c r="B57" t="s">
        <v>1024</v>
      </c>
      <c r="C57" s="430">
        <v>17472.919999999998</v>
      </c>
      <c r="D57" s="430">
        <v>8770</v>
      </c>
      <c r="E57" s="430">
        <v>26242.92</v>
      </c>
      <c r="F57" s="430"/>
      <c r="G57" s="430">
        <v>26242.92</v>
      </c>
      <c r="H57" s="430">
        <v>8826.25</v>
      </c>
      <c r="I57" s="430">
        <v>16770.900000000001</v>
      </c>
      <c r="J57" s="430">
        <v>51840.07</v>
      </c>
      <c r="K57" s="430">
        <v>3000</v>
      </c>
      <c r="L57" s="430">
        <v>48840.07</v>
      </c>
      <c r="M57" s="430">
        <v>8848.75</v>
      </c>
      <c r="N57" s="430">
        <v>57688.82</v>
      </c>
      <c r="O57" s="430">
        <v>16225.96</v>
      </c>
      <c r="P57" s="430">
        <v>41462.86</v>
      </c>
      <c r="Q57" s="430" t="e">
        <v>#REF!</v>
      </c>
      <c r="R57" s="430">
        <v>50142.86</v>
      </c>
      <c r="S57" s="430">
        <v>10286.790000000001</v>
      </c>
      <c r="T57" s="430">
        <v>39856.07</v>
      </c>
      <c r="U57" s="430">
        <v>8623.75</v>
      </c>
      <c r="V57" s="430">
        <v>48479.82</v>
      </c>
      <c r="W57" s="430">
        <v>94060</v>
      </c>
      <c r="X57" s="430">
        <v>-45580.18</v>
      </c>
      <c r="Y57" s="430">
        <v>8488.75</v>
      </c>
      <c r="Z57" s="430">
        <v>-37091.43</v>
      </c>
      <c r="AB57" s="430"/>
    </row>
    <row r="58" spans="1:28" x14ac:dyDescent="0.25">
      <c r="A58" t="s">
        <v>283</v>
      </c>
      <c r="B58" t="s">
        <v>1023</v>
      </c>
      <c r="C58" s="430">
        <v>8871</v>
      </c>
      <c r="D58" s="430">
        <v>8997.25</v>
      </c>
      <c r="E58" s="430">
        <v>17868.25</v>
      </c>
      <c r="F58" s="430">
        <v>17868.25</v>
      </c>
      <c r="G58" s="430">
        <v>0</v>
      </c>
      <c r="H58" s="430">
        <v>9226.75</v>
      </c>
      <c r="I58" s="430">
        <v>17913.66</v>
      </c>
      <c r="J58" s="430">
        <v>27140.41</v>
      </c>
      <c r="K58" s="430">
        <v>0</v>
      </c>
      <c r="L58" s="430">
        <v>27140.41</v>
      </c>
      <c r="M58" s="430">
        <v>9231.25</v>
      </c>
      <c r="N58" s="430">
        <v>36371.660000000003</v>
      </c>
      <c r="O58" s="430">
        <v>27140</v>
      </c>
      <c r="P58" s="430">
        <v>9231.6600000000035</v>
      </c>
      <c r="Q58" s="430" t="e">
        <v>#REF!</v>
      </c>
      <c r="R58" s="430">
        <v>18431.410000000003</v>
      </c>
      <c r="S58" s="430">
        <v>9800</v>
      </c>
      <c r="T58" s="430">
        <v>8631.4100000000035</v>
      </c>
      <c r="U58" s="430">
        <v>9251.5</v>
      </c>
      <c r="V58" s="430">
        <v>17882.910000000003</v>
      </c>
      <c r="W58" s="430">
        <v>0</v>
      </c>
      <c r="X58" s="430">
        <v>17882.910000000003</v>
      </c>
      <c r="Y58" s="430">
        <v>8857.75</v>
      </c>
      <c r="Z58" s="430">
        <v>26740.660000000003</v>
      </c>
      <c r="AB58" s="430"/>
    </row>
    <row r="59" spans="1:28" x14ac:dyDescent="0.25">
      <c r="A59" t="s">
        <v>287</v>
      </c>
      <c r="B59" t="s">
        <v>1022</v>
      </c>
      <c r="C59" s="430">
        <v>19341.459999999995</v>
      </c>
      <c r="D59" s="430">
        <v>11654.5</v>
      </c>
      <c r="E59" s="430">
        <v>30995.959999999995</v>
      </c>
      <c r="F59" s="430">
        <v>18807.080000000002</v>
      </c>
      <c r="G59" s="430">
        <v>12188.879999999994</v>
      </c>
      <c r="H59" s="430">
        <v>11722</v>
      </c>
      <c r="I59" s="430">
        <v>25033.439999999999</v>
      </c>
      <c r="J59" s="430">
        <v>48944.319999999992</v>
      </c>
      <c r="K59" s="430">
        <v>23910.880000000001</v>
      </c>
      <c r="L59" s="430">
        <v>25033.439999999991</v>
      </c>
      <c r="M59" s="430">
        <v>11985.25</v>
      </c>
      <c r="N59" s="430">
        <v>37018.689999999988</v>
      </c>
      <c r="O59" s="430">
        <v>36604.880000000005</v>
      </c>
      <c r="P59" s="430">
        <v>413.80999999998312</v>
      </c>
      <c r="Q59" s="430" t="e">
        <v>#REF!</v>
      </c>
      <c r="R59" s="430">
        <v>12430.559999999983</v>
      </c>
      <c r="S59" s="430">
        <v>0</v>
      </c>
      <c r="T59" s="430">
        <v>12430.559999999983</v>
      </c>
      <c r="U59" s="430">
        <v>11854.75</v>
      </c>
      <c r="V59" s="430">
        <v>24285.309999999983</v>
      </c>
      <c r="W59" s="430">
        <v>8629.4699999999993</v>
      </c>
      <c r="X59" s="430">
        <v>15655.839999999984</v>
      </c>
      <c r="Y59" s="430">
        <v>11519.5</v>
      </c>
      <c r="Z59" s="430">
        <v>27175.339999999982</v>
      </c>
      <c r="AB59" s="430"/>
    </row>
    <row r="60" spans="1:28" x14ac:dyDescent="0.25">
      <c r="A60" t="s">
        <v>289</v>
      </c>
      <c r="B60" t="s">
        <v>1021</v>
      </c>
      <c r="C60" s="430">
        <v>-0.42000000000189175</v>
      </c>
      <c r="D60" s="430">
        <v>8725</v>
      </c>
      <c r="E60" s="430">
        <v>8724.5799999999981</v>
      </c>
      <c r="F60" s="430">
        <v>7062.5</v>
      </c>
      <c r="G60" s="430">
        <v>1662.0799999999981</v>
      </c>
      <c r="H60" s="430">
        <v>8713.75</v>
      </c>
      <c r="I60" s="430">
        <v>16449.900000000001</v>
      </c>
      <c r="J60" s="430">
        <v>26825.73</v>
      </c>
      <c r="K60" s="430">
        <v>5432.5</v>
      </c>
      <c r="L60" s="430">
        <v>21393.23</v>
      </c>
      <c r="M60" s="430">
        <v>8680</v>
      </c>
      <c r="N60" s="430">
        <v>30073.23</v>
      </c>
      <c r="O60" s="430">
        <v>9597</v>
      </c>
      <c r="P60" s="430">
        <v>20476.23</v>
      </c>
      <c r="Q60" s="430" t="e">
        <v>#REF!</v>
      </c>
      <c r="R60" s="430">
        <v>29133.73</v>
      </c>
      <c r="S60" s="430">
        <v>21459.19</v>
      </c>
      <c r="T60" s="430">
        <v>7674.5400000000009</v>
      </c>
      <c r="U60" s="430">
        <v>8606.8799999999992</v>
      </c>
      <c r="V60" s="430">
        <v>16281.42</v>
      </c>
      <c r="W60" s="430">
        <v>0</v>
      </c>
      <c r="X60" s="430">
        <v>16281.42</v>
      </c>
      <c r="Y60" s="430">
        <v>8668.75</v>
      </c>
      <c r="Z60" s="430">
        <v>24950.17</v>
      </c>
      <c r="AB60" s="430"/>
    </row>
    <row r="61" spans="1:28" x14ac:dyDescent="0.25">
      <c r="A61" s="431" t="s">
        <v>291</v>
      </c>
      <c r="B61" s="431" t="s">
        <v>1020</v>
      </c>
      <c r="C61" s="430">
        <v>12161.9</v>
      </c>
      <c r="D61" s="430">
        <v>7638.25</v>
      </c>
      <c r="E61" s="430">
        <v>19800.150000000001</v>
      </c>
      <c r="F61" s="430">
        <v>12116.18</v>
      </c>
      <c r="G61" s="430">
        <v>7683.9700000000012</v>
      </c>
      <c r="H61" s="430">
        <v>7546</v>
      </c>
      <c r="I61" s="430">
        <v>13117.92</v>
      </c>
      <c r="J61" s="430">
        <v>28347.89</v>
      </c>
      <c r="K61" s="430">
        <v>28347.89</v>
      </c>
      <c r="L61" s="430">
        <v>0</v>
      </c>
      <c r="M61" s="430">
        <v>7798.9</v>
      </c>
      <c r="N61" s="430">
        <v>7798.9</v>
      </c>
      <c r="O61" s="430">
        <v>7620</v>
      </c>
      <c r="P61" s="430">
        <v>178.89999999999964</v>
      </c>
      <c r="Q61" s="430" t="e">
        <v>#REF!</v>
      </c>
      <c r="R61" s="430">
        <v>7828.4</v>
      </c>
      <c r="S61" s="430">
        <v>0</v>
      </c>
      <c r="T61" s="430">
        <v>7828.4</v>
      </c>
      <c r="U61" s="430">
        <v>7697.88</v>
      </c>
      <c r="V61" s="430">
        <v>15526.279999999999</v>
      </c>
      <c r="W61" s="430">
        <v>0</v>
      </c>
      <c r="X61" s="430">
        <v>15526.279999999999</v>
      </c>
      <c r="Y61" s="430">
        <v>7782.25</v>
      </c>
      <c r="Z61" s="430">
        <v>23308.53</v>
      </c>
      <c r="AB61" s="430"/>
    </row>
    <row r="62" spans="1:28" x14ac:dyDescent="0.25">
      <c r="A62" t="s">
        <v>293</v>
      </c>
      <c r="B62" t="s">
        <v>1019</v>
      </c>
      <c r="C62" s="430">
        <v>2998.3099999999995</v>
      </c>
      <c r="D62" s="430">
        <v>8574.25</v>
      </c>
      <c r="E62" s="430">
        <v>11572.56</v>
      </c>
      <c r="F62" s="430"/>
      <c r="G62" s="430">
        <v>11572.56</v>
      </c>
      <c r="H62" s="430">
        <v>8792.5</v>
      </c>
      <c r="I62" s="430">
        <v>16674.599999999999</v>
      </c>
      <c r="J62" s="430">
        <v>37039.659999999996</v>
      </c>
      <c r="K62" s="430">
        <v>7691.2</v>
      </c>
      <c r="L62" s="430">
        <v>29348.459999999995</v>
      </c>
      <c r="M62" s="430">
        <v>8648.5</v>
      </c>
      <c r="N62" s="430">
        <v>37996.959999999992</v>
      </c>
      <c r="O62" s="430">
        <v>26048.84</v>
      </c>
      <c r="P62" s="430">
        <v>11948.119999999992</v>
      </c>
      <c r="Q62" s="430" t="e">
        <v>#REF!</v>
      </c>
      <c r="R62" s="430">
        <v>20643.869999999992</v>
      </c>
      <c r="S62" s="430">
        <v>1093.45</v>
      </c>
      <c r="T62" s="430">
        <v>19550.419999999991</v>
      </c>
      <c r="U62" s="430">
        <v>8344.75</v>
      </c>
      <c r="V62" s="430">
        <v>27895.169999999991</v>
      </c>
      <c r="W62" s="430">
        <v>22521.82</v>
      </c>
      <c r="X62" s="430">
        <v>5373.3499999999913</v>
      </c>
      <c r="Y62" s="430">
        <v>8137.75</v>
      </c>
      <c r="Z62" s="430">
        <v>13511.099999999991</v>
      </c>
      <c r="AB62" s="430"/>
    </row>
    <row r="63" spans="1:28" x14ac:dyDescent="0.25">
      <c r="A63" t="s">
        <v>295</v>
      </c>
      <c r="B63" t="s">
        <v>1018</v>
      </c>
      <c r="C63" s="430">
        <v>11361.14</v>
      </c>
      <c r="D63" s="430">
        <v>6535.75</v>
      </c>
      <c r="E63" s="430">
        <v>17896.89</v>
      </c>
      <c r="F63" s="430">
        <v>11705</v>
      </c>
      <c r="G63" s="430">
        <v>6191.8899999999994</v>
      </c>
      <c r="H63" s="430">
        <v>6592</v>
      </c>
      <c r="I63" s="430">
        <v>10395.84</v>
      </c>
      <c r="J63" s="430">
        <v>23179.73</v>
      </c>
      <c r="K63" s="430">
        <v>12783.99</v>
      </c>
      <c r="L63" s="430">
        <v>10395.74</v>
      </c>
      <c r="M63" s="430">
        <v>6614.5</v>
      </c>
      <c r="N63" s="430">
        <v>17010.239999999998</v>
      </c>
      <c r="O63" s="430">
        <v>17010.239999999998</v>
      </c>
      <c r="P63" s="430">
        <v>0</v>
      </c>
      <c r="Q63" s="430" t="e">
        <v>#REF!</v>
      </c>
      <c r="R63" s="430">
        <v>6634.75</v>
      </c>
      <c r="S63" s="430">
        <v>4905</v>
      </c>
      <c r="T63" s="430">
        <v>1729.75</v>
      </c>
      <c r="U63" s="430">
        <v>6502</v>
      </c>
      <c r="V63" s="430">
        <v>8231.75</v>
      </c>
      <c r="W63" s="430">
        <v>0</v>
      </c>
      <c r="X63" s="430">
        <v>8231.75</v>
      </c>
      <c r="Y63" s="430">
        <v>6317.5</v>
      </c>
      <c r="Z63" s="430">
        <v>14549.25</v>
      </c>
      <c r="AB63" s="430"/>
    </row>
    <row r="64" spans="1:28" x14ac:dyDescent="0.25">
      <c r="A64" t="s">
        <v>297</v>
      </c>
      <c r="B64" t="s">
        <v>1017</v>
      </c>
      <c r="C64" s="430">
        <v>18477.5</v>
      </c>
      <c r="D64" s="430">
        <v>8833</v>
      </c>
      <c r="E64" s="430">
        <v>27310.5</v>
      </c>
      <c r="F64" s="430">
        <v>27310.5</v>
      </c>
      <c r="G64" s="430">
        <v>0</v>
      </c>
      <c r="H64" s="430">
        <v>8574.25</v>
      </c>
      <c r="I64" s="430">
        <v>16051.86</v>
      </c>
      <c r="J64" s="430">
        <v>24626.11</v>
      </c>
      <c r="K64" s="430">
        <v>24626.11</v>
      </c>
      <c r="L64" s="430">
        <v>0</v>
      </c>
      <c r="M64" s="430">
        <v>8565.25</v>
      </c>
      <c r="N64" s="430">
        <v>8565.25</v>
      </c>
      <c r="O64" s="430">
        <v>0</v>
      </c>
      <c r="P64" s="430">
        <v>8565.25</v>
      </c>
      <c r="Q64" s="430" t="e">
        <v>#REF!</v>
      </c>
      <c r="R64" s="430">
        <v>17011.25</v>
      </c>
      <c r="S64" s="430">
        <v>12069.25</v>
      </c>
      <c r="T64" s="430">
        <v>4942</v>
      </c>
      <c r="U64" s="430">
        <v>8383</v>
      </c>
      <c r="V64" s="430">
        <v>13325</v>
      </c>
      <c r="W64" s="430">
        <v>0</v>
      </c>
      <c r="X64" s="430">
        <v>13325</v>
      </c>
      <c r="Y64" s="430">
        <v>7892.5</v>
      </c>
      <c r="Z64" s="430">
        <v>21217.5</v>
      </c>
      <c r="AB64" s="430"/>
    </row>
    <row r="65" spans="1:28" x14ac:dyDescent="0.25">
      <c r="A65" t="s">
        <v>299</v>
      </c>
      <c r="B65" t="s">
        <v>1016</v>
      </c>
      <c r="C65" s="430">
        <v>0.2000000000007276</v>
      </c>
      <c r="D65" s="430">
        <v>9062.5</v>
      </c>
      <c r="E65" s="430">
        <v>9062.7000000000007</v>
      </c>
      <c r="F65" s="430">
        <v>9062.7000000000007</v>
      </c>
      <c r="G65" s="430">
        <v>0</v>
      </c>
      <c r="H65" s="430">
        <v>9040</v>
      </c>
      <c r="I65" s="430">
        <v>17380.8</v>
      </c>
      <c r="J65" s="430">
        <v>26420.799999999999</v>
      </c>
      <c r="K65" s="430">
        <v>0</v>
      </c>
      <c r="L65" s="430">
        <v>26420.799999999999</v>
      </c>
      <c r="M65" s="430">
        <v>9019.75</v>
      </c>
      <c r="N65" s="430">
        <v>35440.550000000003</v>
      </c>
      <c r="O65" s="430">
        <v>26690.98</v>
      </c>
      <c r="P65" s="430">
        <v>8749.5700000000033</v>
      </c>
      <c r="Q65" s="430" t="e">
        <v>#REF!</v>
      </c>
      <c r="R65" s="430">
        <v>17609.570000000003</v>
      </c>
      <c r="S65" s="430">
        <v>13241.109999999999</v>
      </c>
      <c r="T65" s="430">
        <v>4368.4600000000046</v>
      </c>
      <c r="U65" s="430">
        <v>8899.3799999999992</v>
      </c>
      <c r="V65" s="430">
        <v>13267.840000000004</v>
      </c>
      <c r="W65" s="430">
        <v>998.94000000000051</v>
      </c>
      <c r="X65" s="430">
        <v>12268.900000000003</v>
      </c>
      <c r="Y65" s="430">
        <v>8893.75</v>
      </c>
      <c r="Z65" s="430">
        <v>21162.65</v>
      </c>
      <c r="AB65" s="430"/>
    </row>
    <row r="66" spans="1:28" x14ac:dyDescent="0.25">
      <c r="A66" t="s">
        <v>301</v>
      </c>
      <c r="B66" s="42" t="s">
        <v>1015</v>
      </c>
      <c r="C66" s="430">
        <v>8793</v>
      </c>
      <c r="D66" s="430">
        <v>8736.25</v>
      </c>
      <c r="E66" s="430">
        <v>17529.25</v>
      </c>
      <c r="F66" s="430">
        <v>17529.25</v>
      </c>
      <c r="G66" s="430">
        <v>0</v>
      </c>
      <c r="H66" s="430">
        <v>8736.25</v>
      </c>
      <c r="I66" s="430">
        <v>16514.099999999999</v>
      </c>
      <c r="J66" s="430">
        <v>25250.35</v>
      </c>
      <c r="K66" s="430">
        <v>0</v>
      </c>
      <c r="L66" s="430">
        <v>25250.35</v>
      </c>
      <c r="M66" s="430">
        <v>8725</v>
      </c>
      <c r="N66" s="430">
        <v>33975.35</v>
      </c>
      <c r="O66" s="430">
        <v>0</v>
      </c>
      <c r="P66" s="430">
        <v>33975.35</v>
      </c>
      <c r="Q66" s="430" t="e">
        <v>#REF!</v>
      </c>
      <c r="R66" s="430">
        <v>42722.85</v>
      </c>
      <c r="S66" s="430">
        <v>42000</v>
      </c>
      <c r="T66" s="430">
        <v>722.84999999999854</v>
      </c>
      <c r="U66" s="430">
        <v>8747.5</v>
      </c>
      <c r="V66" s="430">
        <v>9470.3499999999985</v>
      </c>
      <c r="W66" s="430">
        <v>0</v>
      </c>
      <c r="X66" s="430">
        <v>9470.3499999999985</v>
      </c>
      <c r="Y66" s="430">
        <v>8781.25</v>
      </c>
      <c r="Z66" s="430">
        <v>18251.599999999999</v>
      </c>
      <c r="AB66" s="430"/>
    </row>
    <row r="67" spans="1:28" x14ac:dyDescent="0.25">
      <c r="A67" t="s">
        <v>305</v>
      </c>
      <c r="B67" t="s">
        <v>1014</v>
      </c>
      <c r="C67" s="430">
        <v>17003.84</v>
      </c>
      <c r="D67" s="430">
        <v>7195</v>
      </c>
      <c r="E67" s="430">
        <v>24198.84</v>
      </c>
      <c r="F67" s="430"/>
      <c r="G67" s="430">
        <v>24198.84</v>
      </c>
      <c r="H67" s="430">
        <v>7183.75</v>
      </c>
      <c r="I67" s="430">
        <v>12084.3</v>
      </c>
      <c r="J67" s="430">
        <v>43466.89</v>
      </c>
      <c r="K67" s="430">
        <v>24199</v>
      </c>
      <c r="L67" s="430">
        <v>19267.89</v>
      </c>
      <c r="M67" s="430">
        <v>7161.25</v>
      </c>
      <c r="N67" s="430">
        <v>26429.14</v>
      </c>
      <c r="O67" s="430">
        <v>0</v>
      </c>
      <c r="P67" s="430">
        <v>26429.14</v>
      </c>
      <c r="Q67" s="430" t="e">
        <v>#REF!</v>
      </c>
      <c r="R67" s="430">
        <v>33556.639999999999</v>
      </c>
      <c r="S67" s="430">
        <v>0</v>
      </c>
      <c r="T67" s="430">
        <v>33556.639999999999</v>
      </c>
      <c r="U67" s="430">
        <v>7172.5</v>
      </c>
      <c r="V67" s="430">
        <v>40729.14</v>
      </c>
      <c r="W67" s="430">
        <v>0</v>
      </c>
      <c r="X67" s="430">
        <v>40729.14</v>
      </c>
      <c r="Y67" s="430">
        <v>7116.25</v>
      </c>
      <c r="Z67" s="430">
        <v>47845.39</v>
      </c>
      <c r="AB67" s="430"/>
    </row>
    <row r="68" spans="1:28" x14ac:dyDescent="0.25">
      <c r="A68" t="s">
        <v>307</v>
      </c>
      <c r="B68" s="42" t="s">
        <v>1013</v>
      </c>
      <c r="C68" s="430">
        <v>52800</v>
      </c>
      <c r="D68" s="430">
        <v>8185</v>
      </c>
      <c r="E68" s="430">
        <v>60985</v>
      </c>
      <c r="F68" s="430"/>
      <c r="G68" s="430">
        <v>60985</v>
      </c>
      <c r="H68" s="430">
        <v>8185</v>
      </c>
      <c r="I68" s="430">
        <v>14941.2</v>
      </c>
      <c r="J68" s="430">
        <v>84111.2</v>
      </c>
      <c r="K68" s="430">
        <v>0</v>
      </c>
      <c r="L68" s="430">
        <v>84111.2</v>
      </c>
      <c r="M68" s="430">
        <v>8173.75</v>
      </c>
      <c r="N68" s="430">
        <v>92284.95</v>
      </c>
      <c r="O68" s="430">
        <v>0</v>
      </c>
      <c r="P68" s="430">
        <v>92284.95</v>
      </c>
      <c r="Q68" s="430" t="e">
        <v>#REF!</v>
      </c>
      <c r="R68" s="430">
        <v>100436.2</v>
      </c>
      <c r="S68" s="430">
        <v>100436</v>
      </c>
      <c r="T68" s="430">
        <v>0.19999999999708962</v>
      </c>
      <c r="U68" s="430">
        <v>8095</v>
      </c>
      <c r="V68" s="430">
        <v>8095.1999999999971</v>
      </c>
      <c r="W68" s="430">
        <v>0</v>
      </c>
      <c r="X68" s="430">
        <v>8095.1999999999971</v>
      </c>
      <c r="Y68" s="430">
        <v>8151.25</v>
      </c>
      <c r="Z68" s="430">
        <v>16246.449999999997</v>
      </c>
      <c r="AB68" s="430"/>
    </row>
    <row r="69" spans="1:28" x14ac:dyDescent="0.25">
      <c r="A69" t="s">
        <v>309</v>
      </c>
      <c r="B69" t="s">
        <v>1012</v>
      </c>
      <c r="C69" s="430">
        <v>6072.9599999999973</v>
      </c>
      <c r="D69" s="430">
        <v>6700</v>
      </c>
      <c r="E69" s="430">
        <v>12772.959999999997</v>
      </c>
      <c r="F69" s="430">
        <v>8716.98</v>
      </c>
      <c r="G69" s="430">
        <v>4055.9799999999977</v>
      </c>
      <c r="H69" s="430">
        <v>7037.5</v>
      </c>
      <c r="I69" s="430">
        <v>11667</v>
      </c>
      <c r="J69" s="430">
        <v>22760.479999999996</v>
      </c>
      <c r="K69" s="430">
        <v>9114.0299999999988</v>
      </c>
      <c r="L69" s="430">
        <v>13646.449999999997</v>
      </c>
      <c r="M69" s="430">
        <v>7375</v>
      </c>
      <c r="N69" s="430">
        <v>21021.449999999997</v>
      </c>
      <c r="O69" s="430">
        <v>3608.68</v>
      </c>
      <c r="P69" s="430">
        <v>17412.769999999997</v>
      </c>
      <c r="Q69" s="430" t="e">
        <v>#REF!</v>
      </c>
      <c r="R69" s="430">
        <v>25114.019999999997</v>
      </c>
      <c r="S69" s="430">
        <v>3827.2</v>
      </c>
      <c r="T69" s="430">
        <v>21286.819999999996</v>
      </c>
      <c r="U69" s="430">
        <v>8050</v>
      </c>
      <c r="V69" s="430">
        <v>29336.819999999996</v>
      </c>
      <c r="W69" s="430">
        <v>0</v>
      </c>
      <c r="X69" s="430">
        <v>29336.819999999996</v>
      </c>
      <c r="Y69" s="430">
        <v>8398.75</v>
      </c>
      <c r="Z69" s="430">
        <v>37735.569999999992</v>
      </c>
      <c r="AB69" s="430"/>
    </row>
    <row r="70" spans="1:28" x14ac:dyDescent="0.25">
      <c r="A70" t="s">
        <v>311</v>
      </c>
      <c r="B70" t="s">
        <v>1011</v>
      </c>
      <c r="C70" s="430">
        <v>32333</v>
      </c>
      <c r="D70" s="430">
        <v>7791.25</v>
      </c>
      <c r="E70" s="430">
        <v>40124.25</v>
      </c>
      <c r="F70" s="430"/>
      <c r="G70" s="430">
        <v>40124.25</v>
      </c>
      <c r="H70" s="430">
        <v>7991.5</v>
      </c>
      <c r="I70" s="430">
        <v>14389.08</v>
      </c>
      <c r="J70" s="430">
        <v>62504.83</v>
      </c>
      <c r="K70" s="430">
        <v>19065.66</v>
      </c>
      <c r="L70" s="430">
        <v>43439.17</v>
      </c>
      <c r="M70" s="430">
        <v>7903.75</v>
      </c>
      <c r="N70" s="430">
        <v>51342.92</v>
      </c>
      <c r="O70" s="430">
        <v>2019.02</v>
      </c>
      <c r="P70" s="430">
        <v>49323.9</v>
      </c>
      <c r="Q70" s="430" t="e">
        <v>#REF!</v>
      </c>
      <c r="R70" s="430">
        <v>57166.9</v>
      </c>
      <c r="S70" s="430">
        <v>10045</v>
      </c>
      <c r="T70" s="430">
        <v>47121.9</v>
      </c>
      <c r="U70" s="430">
        <v>7825</v>
      </c>
      <c r="V70" s="430">
        <v>54946.9</v>
      </c>
      <c r="W70" s="430">
        <v>1.8189894035458565E-12</v>
      </c>
      <c r="X70" s="430">
        <v>54946.9</v>
      </c>
      <c r="Y70" s="430">
        <v>7681</v>
      </c>
      <c r="Z70" s="430">
        <v>62627.9</v>
      </c>
      <c r="AB70" s="430"/>
    </row>
    <row r="71" spans="1:28" x14ac:dyDescent="0.25">
      <c r="A71" t="s">
        <v>313</v>
      </c>
      <c r="B71" s="42" t="s">
        <v>1010</v>
      </c>
      <c r="C71" s="430">
        <v>16842.130000000005</v>
      </c>
      <c r="D71" s="430">
        <v>8747.5</v>
      </c>
      <c r="E71" s="430">
        <v>25589.630000000005</v>
      </c>
      <c r="F71" s="430">
        <v>18350</v>
      </c>
      <c r="G71" s="430">
        <v>7239.6300000000047</v>
      </c>
      <c r="H71" s="430">
        <v>8646.25</v>
      </c>
      <c r="I71" s="430">
        <v>16257.3</v>
      </c>
      <c r="J71" s="430">
        <v>32143.180000000004</v>
      </c>
      <c r="K71" s="430">
        <v>6570</v>
      </c>
      <c r="L71" s="430">
        <v>25573.180000000004</v>
      </c>
      <c r="M71" s="430">
        <v>8646.25</v>
      </c>
      <c r="N71" s="430">
        <v>34219.430000000008</v>
      </c>
      <c r="O71" s="430">
        <v>0</v>
      </c>
      <c r="P71" s="430">
        <v>34219.430000000008</v>
      </c>
      <c r="Q71" s="430" t="e">
        <v>#REF!</v>
      </c>
      <c r="R71" s="430">
        <v>42921.930000000008</v>
      </c>
      <c r="S71" s="430">
        <v>0</v>
      </c>
      <c r="T71" s="430">
        <v>42921.930000000008</v>
      </c>
      <c r="U71" s="430">
        <v>8668.75</v>
      </c>
      <c r="V71" s="430">
        <v>51590.680000000008</v>
      </c>
      <c r="W71" s="430">
        <v>0</v>
      </c>
      <c r="X71" s="430">
        <v>51590.680000000008</v>
      </c>
      <c r="Y71" s="430">
        <v>8578.75</v>
      </c>
      <c r="Z71" s="430">
        <v>60169.430000000008</v>
      </c>
      <c r="AB71" s="430"/>
    </row>
    <row r="72" spans="1:28" x14ac:dyDescent="0.25">
      <c r="A72" t="s">
        <v>317</v>
      </c>
      <c r="B72" t="s">
        <v>1009</v>
      </c>
      <c r="C72" s="430">
        <v>7872.3600000000024</v>
      </c>
      <c r="D72" s="430">
        <v>9883.75</v>
      </c>
      <c r="E72" s="430">
        <v>17756.11</v>
      </c>
      <c r="F72" s="430">
        <v>6993.52</v>
      </c>
      <c r="G72" s="430">
        <v>10762.59</v>
      </c>
      <c r="H72" s="430">
        <v>10311.25</v>
      </c>
      <c r="I72" s="430">
        <v>21008.1</v>
      </c>
      <c r="J72" s="430">
        <v>42081.94</v>
      </c>
      <c r="K72" s="430">
        <v>18454.199999999997</v>
      </c>
      <c r="L72" s="430">
        <v>23627.740000000005</v>
      </c>
      <c r="M72" s="430">
        <v>10525</v>
      </c>
      <c r="N72" s="430">
        <v>34152.740000000005</v>
      </c>
      <c r="O72" s="430">
        <v>28252.670000000002</v>
      </c>
      <c r="P72" s="430">
        <v>5900.0700000000033</v>
      </c>
      <c r="Q72" s="430" t="e">
        <v>#REF!</v>
      </c>
      <c r="R72" s="430">
        <v>16773.820000000003</v>
      </c>
      <c r="S72" s="430">
        <v>12701.189999999999</v>
      </c>
      <c r="T72" s="430">
        <v>4072.6300000000047</v>
      </c>
      <c r="U72" s="430">
        <v>11132.5</v>
      </c>
      <c r="V72" s="430">
        <v>15205.130000000005</v>
      </c>
      <c r="W72" s="430">
        <v>0</v>
      </c>
      <c r="X72" s="430">
        <v>15205.130000000005</v>
      </c>
      <c r="Y72" s="430">
        <v>11121.25</v>
      </c>
      <c r="Z72" s="430">
        <v>26326.380000000005</v>
      </c>
      <c r="AB72" s="430"/>
    </row>
    <row r="73" spans="1:28" x14ac:dyDescent="0.25">
      <c r="A73" s="431" t="s">
        <v>319</v>
      </c>
      <c r="B73" s="431" t="s">
        <v>1008</v>
      </c>
      <c r="C73" s="430">
        <v>6284</v>
      </c>
      <c r="D73" s="430">
        <v>6295</v>
      </c>
      <c r="E73" s="430">
        <v>12579</v>
      </c>
      <c r="F73" s="430"/>
      <c r="G73" s="430">
        <v>12579</v>
      </c>
      <c r="H73" s="430">
        <v>6317.5</v>
      </c>
      <c r="I73" s="430">
        <v>9612.6</v>
      </c>
      <c r="J73" s="430">
        <v>28509.1</v>
      </c>
      <c r="K73" s="430">
        <v>0</v>
      </c>
      <c r="L73" s="430">
        <v>28509.1</v>
      </c>
      <c r="M73" s="430">
        <v>6283.75</v>
      </c>
      <c r="N73" s="430">
        <v>34792.85</v>
      </c>
      <c r="O73" s="430">
        <v>0</v>
      </c>
      <c r="P73" s="430">
        <v>34792.85</v>
      </c>
      <c r="Q73" s="430" t="e">
        <v>#REF!</v>
      </c>
      <c r="R73" s="430">
        <v>41042.85</v>
      </c>
      <c r="S73" s="430">
        <v>0</v>
      </c>
      <c r="T73" s="430">
        <v>41042.85</v>
      </c>
      <c r="U73" s="430">
        <v>6227.5</v>
      </c>
      <c r="V73" s="430">
        <v>47270.35</v>
      </c>
      <c r="W73" s="430">
        <v>0</v>
      </c>
      <c r="X73" s="430">
        <v>47270.35</v>
      </c>
      <c r="Y73" s="430">
        <v>6328.75</v>
      </c>
      <c r="Z73" s="430">
        <v>53599.1</v>
      </c>
      <c r="AB73" s="430"/>
    </row>
    <row r="74" spans="1:28" x14ac:dyDescent="0.25">
      <c r="A74" t="s">
        <v>321</v>
      </c>
      <c r="B74" t="s">
        <v>1007</v>
      </c>
      <c r="C74" s="430">
        <v>11897.989999999998</v>
      </c>
      <c r="D74" s="430">
        <v>6385</v>
      </c>
      <c r="E74" s="430">
        <v>18282.989999999998</v>
      </c>
      <c r="F74" s="430">
        <v>2043.65</v>
      </c>
      <c r="G74" s="430">
        <v>16239.339999999998</v>
      </c>
      <c r="H74" s="430">
        <v>6598.75</v>
      </c>
      <c r="I74" s="430">
        <v>10415.1</v>
      </c>
      <c r="J74" s="430">
        <v>33253.189999999995</v>
      </c>
      <c r="K74" s="430">
        <v>16560.400000000001</v>
      </c>
      <c r="L74" s="430">
        <v>16692.789999999994</v>
      </c>
      <c r="M74" s="430">
        <v>6733.75</v>
      </c>
      <c r="N74" s="430">
        <v>23426.539999999994</v>
      </c>
      <c r="O74" s="430">
        <v>10035.540000000001</v>
      </c>
      <c r="P74" s="430">
        <v>13390.999999999993</v>
      </c>
      <c r="Q74" s="430" t="e">
        <v>#REF!</v>
      </c>
      <c r="R74" s="430">
        <v>20405.999999999993</v>
      </c>
      <c r="S74" s="430">
        <v>0</v>
      </c>
      <c r="T74" s="430">
        <v>20405.999999999993</v>
      </c>
      <c r="U74" s="430">
        <v>7408.75</v>
      </c>
      <c r="V74" s="430">
        <v>27814.749999999993</v>
      </c>
      <c r="W74" s="430">
        <v>19276.229999999996</v>
      </c>
      <c r="X74" s="430">
        <v>8538.5199999999968</v>
      </c>
      <c r="Y74" s="430">
        <v>7453.75</v>
      </c>
      <c r="Z74" s="430">
        <v>15992.269999999997</v>
      </c>
      <c r="AB74" s="430"/>
    </row>
    <row r="75" spans="1:28" x14ac:dyDescent="0.25">
      <c r="A75" t="s">
        <v>325</v>
      </c>
      <c r="B75" t="s">
        <v>1006</v>
      </c>
      <c r="C75" s="430">
        <v>7335</v>
      </c>
      <c r="D75" s="430">
        <v>7822.75</v>
      </c>
      <c r="E75" s="430">
        <v>15157.75</v>
      </c>
      <c r="F75" s="430"/>
      <c r="G75" s="430">
        <v>15157.75</v>
      </c>
      <c r="H75" s="430">
        <v>8142.25</v>
      </c>
      <c r="I75" s="430">
        <v>14819.22</v>
      </c>
      <c r="J75" s="430">
        <v>38119.22</v>
      </c>
      <c r="K75" s="430">
        <v>0</v>
      </c>
      <c r="L75" s="430">
        <v>38119.22</v>
      </c>
      <c r="M75" s="430">
        <v>8405.5</v>
      </c>
      <c r="N75" s="430">
        <v>46524.72</v>
      </c>
      <c r="O75" s="430">
        <v>0</v>
      </c>
      <c r="P75" s="430">
        <v>46524.72</v>
      </c>
      <c r="Q75" s="430" t="e">
        <v>#REF!</v>
      </c>
      <c r="R75" s="430">
        <v>55222.720000000001</v>
      </c>
      <c r="S75" s="430">
        <v>0</v>
      </c>
      <c r="T75" s="430">
        <v>55222.720000000001</v>
      </c>
      <c r="U75" s="430">
        <v>8653</v>
      </c>
      <c r="V75" s="430">
        <v>63875.72</v>
      </c>
      <c r="W75" s="430">
        <v>0</v>
      </c>
      <c r="X75" s="430">
        <v>63875.72</v>
      </c>
      <c r="Y75" s="430">
        <v>8639.5</v>
      </c>
      <c r="Z75" s="430">
        <v>72515.22</v>
      </c>
      <c r="AB75" s="430"/>
    </row>
    <row r="76" spans="1:28" x14ac:dyDescent="0.25">
      <c r="A76" t="s">
        <v>327</v>
      </c>
      <c r="B76" t="s">
        <v>1005</v>
      </c>
      <c r="C76" s="430">
        <v>11582.400000000001</v>
      </c>
      <c r="D76" s="430">
        <v>9188.5</v>
      </c>
      <c r="E76" s="430">
        <v>20770.900000000001</v>
      </c>
      <c r="F76" s="430">
        <v>9304.27</v>
      </c>
      <c r="G76" s="430">
        <v>11466.630000000001</v>
      </c>
      <c r="H76" s="430">
        <v>9157</v>
      </c>
      <c r="I76" s="430">
        <v>17714.64</v>
      </c>
      <c r="J76" s="430">
        <v>38338.270000000004</v>
      </c>
      <c r="K76" s="430">
        <v>0</v>
      </c>
      <c r="L76" s="430">
        <v>38338.270000000004</v>
      </c>
      <c r="M76" s="430">
        <v>9141.25</v>
      </c>
      <c r="N76" s="430">
        <v>47479.520000000004</v>
      </c>
      <c r="O76" s="430">
        <v>7281</v>
      </c>
      <c r="P76" s="430">
        <v>40198.520000000004</v>
      </c>
      <c r="Q76" s="430" t="e">
        <v>#REF!</v>
      </c>
      <c r="R76" s="430">
        <v>49411.770000000004</v>
      </c>
      <c r="S76" s="430">
        <v>49411.770000000004</v>
      </c>
      <c r="T76" s="430">
        <v>0</v>
      </c>
      <c r="U76" s="430">
        <v>9143.5</v>
      </c>
      <c r="V76" s="430">
        <v>9143.5</v>
      </c>
      <c r="W76" s="430">
        <v>0</v>
      </c>
      <c r="X76" s="430">
        <v>9143.5</v>
      </c>
      <c r="Y76" s="430">
        <v>8992.75</v>
      </c>
      <c r="Z76" s="430">
        <v>18136.25</v>
      </c>
      <c r="AB76" s="430"/>
    </row>
    <row r="77" spans="1:28" x14ac:dyDescent="0.25">
      <c r="A77" t="s">
        <v>329</v>
      </c>
      <c r="B77" t="s">
        <v>1004</v>
      </c>
      <c r="C77" s="430">
        <v>0</v>
      </c>
      <c r="D77" s="430">
        <v>7305.25</v>
      </c>
      <c r="E77" s="430">
        <v>7305.25</v>
      </c>
      <c r="F77" s="430">
        <v>7231</v>
      </c>
      <c r="G77" s="430">
        <v>74.25</v>
      </c>
      <c r="H77" s="430">
        <v>7937.5</v>
      </c>
      <c r="I77" s="430">
        <v>14235</v>
      </c>
      <c r="J77" s="430">
        <v>22246.75</v>
      </c>
      <c r="K77" s="430">
        <v>2840.3</v>
      </c>
      <c r="L77" s="430">
        <v>19406.45</v>
      </c>
      <c r="M77" s="430">
        <v>8117.5</v>
      </c>
      <c r="N77" s="430">
        <v>27523.95</v>
      </c>
      <c r="O77" s="430">
        <v>27206.75</v>
      </c>
      <c r="P77" s="430">
        <v>317.20000000000073</v>
      </c>
      <c r="Q77" s="430" t="e">
        <v>#REF!</v>
      </c>
      <c r="R77" s="430">
        <v>8401.85</v>
      </c>
      <c r="S77" s="430">
        <v>3548.7</v>
      </c>
      <c r="T77" s="430">
        <v>4853.1500000000005</v>
      </c>
      <c r="U77" s="430">
        <v>7701.25</v>
      </c>
      <c r="V77" s="430">
        <v>12554.400000000001</v>
      </c>
      <c r="W77" s="430">
        <v>3588.08</v>
      </c>
      <c r="X77" s="430">
        <v>8966.3200000000015</v>
      </c>
      <c r="Y77" s="430">
        <v>7588.75</v>
      </c>
      <c r="Z77" s="430">
        <v>16555.07</v>
      </c>
      <c r="AB77" s="430"/>
    </row>
    <row r="78" spans="1:28" x14ac:dyDescent="0.25">
      <c r="A78" t="s">
        <v>35</v>
      </c>
      <c r="B78" t="s">
        <v>1003</v>
      </c>
      <c r="C78" s="430">
        <v>6807.32</v>
      </c>
      <c r="D78" s="430">
        <v>11416</v>
      </c>
      <c r="E78" s="430">
        <v>18223.32</v>
      </c>
      <c r="F78" s="430">
        <v>11975</v>
      </c>
      <c r="G78" s="430">
        <v>6248.32</v>
      </c>
      <c r="H78" s="430">
        <v>11416</v>
      </c>
      <c r="I78" s="430">
        <v>24160.32</v>
      </c>
      <c r="J78" s="430">
        <v>41824.639999999999</v>
      </c>
      <c r="K78" s="430">
        <v>7039.85</v>
      </c>
      <c r="L78" s="430">
        <v>34784.79</v>
      </c>
      <c r="M78" s="430">
        <v>11326</v>
      </c>
      <c r="N78" s="430">
        <v>46110.79</v>
      </c>
      <c r="O78" s="430">
        <v>34077.9</v>
      </c>
      <c r="P78" s="430">
        <v>12032.89</v>
      </c>
      <c r="Q78" s="430" t="e">
        <v>#REF!</v>
      </c>
      <c r="R78" s="430">
        <v>23433.14</v>
      </c>
      <c r="S78" s="430">
        <v>10150.91</v>
      </c>
      <c r="T78" s="430">
        <v>13282.23</v>
      </c>
      <c r="U78" s="430">
        <v>11479</v>
      </c>
      <c r="V78" s="430">
        <v>24761.23</v>
      </c>
      <c r="W78" s="430">
        <v>7553.7799999999988</v>
      </c>
      <c r="X78" s="430">
        <v>17207.45</v>
      </c>
      <c r="Y78" s="430">
        <v>11485.75</v>
      </c>
      <c r="Z78" s="430">
        <v>28693.200000000001</v>
      </c>
      <c r="AB78" s="430"/>
    </row>
    <row r="79" spans="1:28" x14ac:dyDescent="0.25">
      <c r="A79" t="s">
        <v>371</v>
      </c>
      <c r="B79" t="s">
        <v>1002</v>
      </c>
      <c r="C79" s="430">
        <v>1200.9400000000005</v>
      </c>
      <c r="D79" s="430">
        <v>7631.5</v>
      </c>
      <c r="E79" s="430">
        <v>8832.44</v>
      </c>
      <c r="F79" s="430">
        <v>8062.5</v>
      </c>
      <c r="G79" s="430">
        <v>769.94000000000051</v>
      </c>
      <c r="H79" s="430">
        <v>8018.5</v>
      </c>
      <c r="I79" s="430">
        <v>14466.12</v>
      </c>
      <c r="J79" s="430">
        <v>23254.560000000001</v>
      </c>
      <c r="K79" s="430">
        <v>8788.44</v>
      </c>
      <c r="L79" s="430">
        <v>14466.12</v>
      </c>
      <c r="M79" s="430">
        <v>8747.5</v>
      </c>
      <c r="N79" s="430">
        <v>23213.620000000003</v>
      </c>
      <c r="O79" s="430">
        <v>23213.620000000003</v>
      </c>
      <c r="P79" s="430">
        <v>0</v>
      </c>
      <c r="Q79" s="430" t="e">
        <v>#REF!</v>
      </c>
      <c r="R79" s="430">
        <v>8774.5</v>
      </c>
      <c r="S79" s="430">
        <v>5275</v>
      </c>
      <c r="T79" s="430">
        <v>3499.5</v>
      </c>
      <c r="U79" s="430">
        <v>8424.6200000000008</v>
      </c>
      <c r="V79" s="430">
        <v>11924.12</v>
      </c>
      <c r="W79" s="430">
        <v>-1086</v>
      </c>
      <c r="X79" s="430">
        <v>13010.12</v>
      </c>
      <c r="Y79" s="430">
        <v>8155.75</v>
      </c>
      <c r="Z79" s="430">
        <v>21165.870000000003</v>
      </c>
      <c r="AB79" s="430"/>
    </row>
    <row r="80" spans="1:28" x14ac:dyDescent="0.25">
      <c r="A80" t="s">
        <v>333</v>
      </c>
      <c r="B80" t="s">
        <v>1001</v>
      </c>
      <c r="C80" s="430">
        <v>17562</v>
      </c>
      <c r="D80" s="430">
        <v>6272.5</v>
      </c>
      <c r="E80" s="430">
        <v>23834.5</v>
      </c>
      <c r="F80" s="430"/>
      <c r="G80" s="430">
        <v>23834.5</v>
      </c>
      <c r="H80" s="430">
        <v>6531.25</v>
      </c>
      <c r="I80" s="430">
        <v>10222.5</v>
      </c>
      <c r="J80" s="430">
        <v>40588.25</v>
      </c>
      <c r="K80" s="430">
        <v>28772.879999999997</v>
      </c>
      <c r="L80" s="430">
        <v>11815.370000000003</v>
      </c>
      <c r="M80" s="430">
        <v>6981.25</v>
      </c>
      <c r="N80" s="430">
        <v>18796.620000000003</v>
      </c>
      <c r="O80" s="430">
        <v>14150</v>
      </c>
      <c r="P80" s="430">
        <v>4646.6200000000026</v>
      </c>
      <c r="Q80" s="432">
        <v>7251.25</v>
      </c>
      <c r="R80" s="430">
        <v>11897.870000000003</v>
      </c>
      <c r="S80" s="430">
        <v>2305.44</v>
      </c>
      <c r="T80" s="430">
        <v>9592.4300000000021</v>
      </c>
      <c r="U80" s="430"/>
      <c r="V80" s="430">
        <v>9592.4300000000021</v>
      </c>
      <c r="W80" s="430">
        <v>0</v>
      </c>
      <c r="X80" s="430">
        <v>9592.4300000000021</v>
      </c>
      <c r="Y80" s="430">
        <v>0</v>
      </c>
      <c r="Z80" s="430">
        <v>9592.4300000000021</v>
      </c>
      <c r="AB80" s="430"/>
    </row>
    <row r="81" spans="1:28" x14ac:dyDescent="0.25">
      <c r="A81" t="s">
        <v>341</v>
      </c>
      <c r="B81" t="s">
        <v>1000</v>
      </c>
      <c r="C81" s="430">
        <v>-0.38000000000101863</v>
      </c>
      <c r="D81" s="430">
        <v>7822.75</v>
      </c>
      <c r="E81" s="430">
        <v>7822.369999999999</v>
      </c>
      <c r="F81" s="430">
        <v>7822.37</v>
      </c>
      <c r="G81" s="430">
        <v>0</v>
      </c>
      <c r="H81" s="430">
        <v>8216.5</v>
      </c>
      <c r="I81" s="430">
        <v>15031.08</v>
      </c>
      <c r="J81" s="430">
        <v>23247.58</v>
      </c>
      <c r="K81" s="430">
        <v>0</v>
      </c>
      <c r="L81" s="430">
        <v>23247.58</v>
      </c>
      <c r="M81" s="430">
        <v>8511.25</v>
      </c>
      <c r="N81" s="430">
        <v>31758.83</v>
      </c>
      <c r="O81" s="430">
        <v>0</v>
      </c>
      <c r="P81" s="430">
        <v>31758.83</v>
      </c>
      <c r="Q81" s="430" t="e">
        <v>#REF!</v>
      </c>
      <c r="R81" s="430">
        <v>40351.08</v>
      </c>
      <c r="S81" s="430">
        <v>0</v>
      </c>
      <c r="T81" s="430">
        <v>40351.08</v>
      </c>
      <c r="U81" s="430">
        <v>8180.5</v>
      </c>
      <c r="V81" s="430">
        <v>48531.58</v>
      </c>
      <c r="W81" s="430">
        <v>13987.399999999998</v>
      </c>
      <c r="X81" s="430">
        <v>34544.180000000008</v>
      </c>
      <c r="Y81" s="430">
        <v>8039.88</v>
      </c>
      <c r="Z81" s="430">
        <v>42584.060000000005</v>
      </c>
      <c r="AB81" s="430"/>
    </row>
    <row r="82" spans="1:28" x14ac:dyDescent="0.25">
      <c r="A82" t="s">
        <v>343</v>
      </c>
      <c r="B82" t="s">
        <v>999</v>
      </c>
      <c r="C82" s="430">
        <v>27518</v>
      </c>
      <c r="D82" s="430">
        <v>8122</v>
      </c>
      <c r="E82" s="430">
        <v>35640</v>
      </c>
      <c r="F82" s="430">
        <v>25172</v>
      </c>
      <c r="G82" s="430">
        <v>10468</v>
      </c>
      <c r="H82" s="430">
        <v>8414.5</v>
      </c>
      <c r="I82" s="430">
        <v>15596.04</v>
      </c>
      <c r="J82" s="430">
        <v>34478.54</v>
      </c>
      <c r="K82" s="430">
        <v>8203.5</v>
      </c>
      <c r="L82" s="430">
        <v>26275.040000000001</v>
      </c>
      <c r="M82" s="430">
        <v>8659.75</v>
      </c>
      <c r="N82" s="430">
        <v>34934.79</v>
      </c>
      <c r="O82" s="433">
        <v>14904.46</v>
      </c>
      <c r="P82" s="430">
        <v>20030.330000000002</v>
      </c>
      <c r="Q82" s="430" t="e">
        <v>#REF!</v>
      </c>
      <c r="R82" s="430">
        <v>28705.83</v>
      </c>
      <c r="S82" s="430">
        <v>8213.61</v>
      </c>
      <c r="T82" s="430">
        <v>20492.22</v>
      </c>
      <c r="U82" s="430">
        <v>8495.5</v>
      </c>
      <c r="V82" s="430">
        <v>28987.72</v>
      </c>
      <c r="W82" s="430">
        <v>-400</v>
      </c>
      <c r="X82" s="430">
        <v>29387.72</v>
      </c>
      <c r="Y82" s="430">
        <v>8313.25</v>
      </c>
      <c r="Z82" s="430">
        <v>37700.97</v>
      </c>
      <c r="AB82" s="430"/>
    </row>
    <row r="83" spans="1:28" x14ac:dyDescent="0.25">
      <c r="A83" t="s">
        <v>345</v>
      </c>
      <c r="B83" t="s">
        <v>998</v>
      </c>
      <c r="C83" s="430">
        <v>11123.04</v>
      </c>
      <c r="D83" s="430">
        <v>10727.5</v>
      </c>
      <c r="E83" s="430">
        <v>21850.54</v>
      </c>
      <c r="F83" s="430"/>
      <c r="G83" s="430">
        <v>21850.54</v>
      </c>
      <c r="H83" s="430">
        <v>10759</v>
      </c>
      <c r="I83" s="430">
        <v>22285.68</v>
      </c>
      <c r="J83" s="430">
        <v>54895.22</v>
      </c>
      <c r="K83" s="430">
        <v>5820.24</v>
      </c>
      <c r="L83" s="430">
        <v>49074.98</v>
      </c>
      <c r="M83" s="430">
        <v>10243.75</v>
      </c>
      <c r="N83" s="430">
        <v>59318.73</v>
      </c>
      <c r="O83" s="430">
        <v>4153</v>
      </c>
      <c r="P83" s="430">
        <v>55165.73</v>
      </c>
      <c r="Q83" s="430" t="e">
        <v>#REF!</v>
      </c>
      <c r="R83" s="430">
        <v>64914.48</v>
      </c>
      <c r="S83" s="430">
        <v>2518.81</v>
      </c>
      <c r="T83" s="430">
        <v>62395.670000000006</v>
      </c>
      <c r="U83" s="430">
        <v>8996.1200000000008</v>
      </c>
      <c r="V83" s="430">
        <v>71391.790000000008</v>
      </c>
      <c r="W83" s="430">
        <v>1.8189894035458565E-12</v>
      </c>
      <c r="X83" s="430">
        <v>71391.790000000008</v>
      </c>
      <c r="Y83" s="430">
        <v>8390.8799999999992</v>
      </c>
      <c r="Z83" s="430">
        <v>79782.670000000013</v>
      </c>
      <c r="AB83" s="430"/>
    </row>
    <row r="84" spans="1:28" x14ac:dyDescent="0.25">
      <c r="A84" t="s">
        <v>347</v>
      </c>
      <c r="B84" t="s">
        <v>997</v>
      </c>
      <c r="C84" s="430">
        <v>134.35000000000036</v>
      </c>
      <c r="D84" s="430">
        <v>6362.5</v>
      </c>
      <c r="E84" s="430">
        <v>6496.85</v>
      </c>
      <c r="F84" s="430">
        <v>6496.85</v>
      </c>
      <c r="G84" s="430">
        <v>0</v>
      </c>
      <c r="H84" s="430">
        <v>6362.5</v>
      </c>
      <c r="I84" s="430">
        <v>9741</v>
      </c>
      <c r="J84" s="430">
        <v>16103.5</v>
      </c>
      <c r="K84" s="430">
        <v>0</v>
      </c>
      <c r="L84" s="430">
        <v>16103.5</v>
      </c>
      <c r="M84" s="430">
        <v>6362.5</v>
      </c>
      <c r="N84" s="430">
        <v>22466</v>
      </c>
      <c r="O84" s="430">
        <v>0</v>
      </c>
      <c r="P84" s="430">
        <v>22466</v>
      </c>
      <c r="Q84" s="430" t="e">
        <v>#REF!</v>
      </c>
      <c r="R84" s="430">
        <v>28839.75</v>
      </c>
      <c r="S84" s="430">
        <v>0</v>
      </c>
      <c r="T84" s="430">
        <v>28839.75</v>
      </c>
      <c r="U84" s="430">
        <v>6385</v>
      </c>
      <c r="V84" s="430">
        <v>35224.75</v>
      </c>
      <c r="W84" s="430">
        <v>0</v>
      </c>
      <c r="X84" s="430">
        <v>35224.75</v>
      </c>
      <c r="Y84" s="430">
        <v>6373.75</v>
      </c>
      <c r="Z84" s="430">
        <v>41598.5</v>
      </c>
      <c r="AB84" s="430"/>
    </row>
    <row r="85" spans="1:28" x14ac:dyDescent="0.25">
      <c r="A85" t="s">
        <v>353</v>
      </c>
      <c r="B85" s="42" t="s">
        <v>996</v>
      </c>
      <c r="C85" s="430">
        <v>0</v>
      </c>
      <c r="D85" s="430">
        <v>7051</v>
      </c>
      <c r="E85" s="430">
        <v>7051</v>
      </c>
      <c r="F85" s="430"/>
      <c r="G85" s="430">
        <v>7051</v>
      </c>
      <c r="H85" s="430">
        <v>7008.25</v>
      </c>
      <c r="I85" s="430">
        <v>11583.54</v>
      </c>
      <c r="J85" s="430">
        <v>25642.79</v>
      </c>
      <c r="K85" s="430">
        <v>0</v>
      </c>
      <c r="L85" s="430">
        <v>25642.79</v>
      </c>
      <c r="M85" s="430">
        <v>6704.5</v>
      </c>
      <c r="N85" s="430">
        <v>32347.29</v>
      </c>
      <c r="O85" s="430">
        <v>0</v>
      </c>
      <c r="P85" s="430">
        <v>32347.29</v>
      </c>
      <c r="Q85" s="430" t="e">
        <v>#REF!</v>
      </c>
      <c r="R85" s="430">
        <v>38849.29</v>
      </c>
      <c r="S85" s="430">
        <v>0</v>
      </c>
      <c r="T85" s="430">
        <v>38849.29</v>
      </c>
      <c r="U85" s="430">
        <v>6553.75</v>
      </c>
      <c r="V85" s="430">
        <v>45403.040000000001</v>
      </c>
      <c r="W85" s="430">
        <v>0</v>
      </c>
      <c r="X85" s="430">
        <v>45403.040000000001</v>
      </c>
      <c r="Y85" s="430">
        <v>6497.5</v>
      </c>
      <c r="Z85" s="430">
        <v>51900.54</v>
      </c>
      <c r="AB85" s="430"/>
    </row>
    <row r="86" spans="1:28" x14ac:dyDescent="0.25">
      <c r="A86" t="s">
        <v>355</v>
      </c>
      <c r="B86" t="s">
        <v>995</v>
      </c>
      <c r="C86" s="430">
        <v>10787.87</v>
      </c>
      <c r="D86" s="430">
        <v>9010.75</v>
      </c>
      <c r="E86" s="430">
        <v>19798.620000000003</v>
      </c>
      <c r="F86" s="430"/>
      <c r="G86" s="430">
        <v>19798.620000000003</v>
      </c>
      <c r="H86" s="430">
        <v>8882.5</v>
      </c>
      <c r="I86" s="430">
        <v>16931.400000000001</v>
      </c>
      <c r="J86" s="430">
        <v>45612.520000000004</v>
      </c>
      <c r="K86" s="430">
        <v>28681.119999999999</v>
      </c>
      <c r="L86" s="430">
        <v>16931.400000000005</v>
      </c>
      <c r="M86" s="430">
        <v>8956.75</v>
      </c>
      <c r="N86" s="430">
        <v>25888.150000000005</v>
      </c>
      <c r="O86" s="430">
        <v>25888.15</v>
      </c>
      <c r="P86" s="430">
        <v>0</v>
      </c>
      <c r="Q86" s="430" t="e">
        <v>#REF!</v>
      </c>
      <c r="R86" s="430">
        <v>8644</v>
      </c>
      <c r="S86" s="430">
        <v>6353.59</v>
      </c>
      <c r="T86" s="430">
        <v>2290.41</v>
      </c>
      <c r="U86" s="430">
        <v>8725</v>
      </c>
      <c r="V86" s="430">
        <v>11015.41</v>
      </c>
      <c r="W86" s="430">
        <v>4752</v>
      </c>
      <c r="X86" s="430">
        <v>6263.41</v>
      </c>
      <c r="Y86" s="430">
        <v>8347</v>
      </c>
      <c r="Z86" s="430">
        <v>14610.41</v>
      </c>
      <c r="AB86" s="430"/>
    </row>
    <row r="87" spans="1:28" x14ac:dyDescent="0.25">
      <c r="A87" t="s">
        <v>357</v>
      </c>
      <c r="B87" t="s">
        <v>994</v>
      </c>
      <c r="C87" s="430">
        <v>19790</v>
      </c>
      <c r="D87" s="430">
        <v>6544.75</v>
      </c>
      <c r="E87" s="430">
        <v>26334.75</v>
      </c>
      <c r="F87" s="430">
        <v>13790</v>
      </c>
      <c r="G87" s="430">
        <v>12544.75</v>
      </c>
      <c r="H87" s="430">
        <v>6508.75</v>
      </c>
      <c r="I87" s="430">
        <v>10158.299999999999</v>
      </c>
      <c r="J87" s="430">
        <v>29211.8</v>
      </c>
      <c r="K87" s="430">
        <v>15906.029999999999</v>
      </c>
      <c r="L87" s="430">
        <v>13305.77</v>
      </c>
      <c r="M87" s="430">
        <v>6531.25</v>
      </c>
      <c r="N87" s="430">
        <v>19837.02</v>
      </c>
      <c r="O87" s="430">
        <v>19837.02</v>
      </c>
      <c r="P87" s="430">
        <v>0</v>
      </c>
      <c r="Q87" s="430" t="e">
        <v>#REF!</v>
      </c>
      <c r="R87" s="430">
        <v>6373.75</v>
      </c>
      <c r="S87" s="430">
        <v>6373.92</v>
      </c>
      <c r="T87" s="430">
        <v>-0.17000000000007276</v>
      </c>
      <c r="U87" s="430">
        <v>6362.5</v>
      </c>
      <c r="V87" s="430">
        <v>6362.33</v>
      </c>
      <c r="W87" s="430">
        <v>1419</v>
      </c>
      <c r="X87" s="430">
        <v>4943.33</v>
      </c>
      <c r="Y87" s="430">
        <v>6261.25</v>
      </c>
      <c r="Z87" s="430">
        <v>11204.58</v>
      </c>
      <c r="AB87" s="430"/>
    </row>
    <row r="88" spans="1:28" x14ac:dyDescent="0.25">
      <c r="A88" t="s">
        <v>359</v>
      </c>
      <c r="B88" t="s">
        <v>993</v>
      </c>
      <c r="C88" s="430">
        <v>1707.5</v>
      </c>
      <c r="D88" s="430">
        <v>7242.25</v>
      </c>
      <c r="E88" s="430">
        <v>8949.75</v>
      </c>
      <c r="F88" s="430">
        <v>8941</v>
      </c>
      <c r="G88" s="430">
        <v>8.75</v>
      </c>
      <c r="H88" s="430">
        <v>7276</v>
      </c>
      <c r="I88" s="430">
        <v>12347.52</v>
      </c>
      <c r="J88" s="430">
        <v>19632.27</v>
      </c>
      <c r="K88" s="430">
        <v>0</v>
      </c>
      <c r="L88" s="430">
        <v>19632.27</v>
      </c>
      <c r="M88" s="430">
        <v>7273.75</v>
      </c>
      <c r="N88" s="430">
        <v>26906.02</v>
      </c>
      <c r="O88" s="430">
        <v>6968.5</v>
      </c>
      <c r="P88" s="430">
        <v>19937.52</v>
      </c>
      <c r="Q88" s="430" t="e">
        <v>#REF!</v>
      </c>
      <c r="R88" s="430">
        <v>27249.52</v>
      </c>
      <c r="S88" s="430">
        <v>5515.68</v>
      </c>
      <c r="T88" s="430">
        <v>21733.84</v>
      </c>
      <c r="U88" s="430">
        <v>7276</v>
      </c>
      <c r="V88" s="430">
        <v>29009.84</v>
      </c>
      <c r="W88" s="430">
        <v>11002</v>
      </c>
      <c r="X88" s="430">
        <v>18007.84</v>
      </c>
      <c r="Y88" s="430">
        <v>7294</v>
      </c>
      <c r="Z88" s="430">
        <v>25301.84</v>
      </c>
      <c r="AB88" s="430"/>
    </row>
    <row r="89" spans="1:28" x14ac:dyDescent="0.25">
      <c r="A89" t="s">
        <v>361</v>
      </c>
      <c r="B89" s="42" t="s">
        <v>992</v>
      </c>
      <c r="C89" s="430">
        <v>40.540000000000873</v>
      </c>
      <c r="D89" s="430">
        <v>7555</v>
      </c>
      <c r="E89" s="430">
        <v>7595.5400000000009</v>
      </c>
      <c r="F89" s="430"/>
      <c r="G89" s="430">
        <v>7595.5400000000009</v>
      </c>
      <c r="H89" s="430">
        <v>7701.25</v>
      </c>
      <c r="I89" s="430">
        <v>13560.9</v>
      </c>
      <c r="J89" s="430">
        <v>28857.690000000002</v>
      </c>
      <c r="K89" s="430">
        <v>15297</v>
      </c>
      <c r="L89" s="430">
        <v>13560.690000000002</v>
      </c>
      <c r="M89" s="430">
        <v>7723.75</v>
      </c>
      <c r="N89" s="430">
        <v>21284.440000000002</v>
      </c>
      <c r="O89" s="430">
        <v>21285</v>
      </c>
      <c r="P89" s="430">
        <v>-0.55999999999767169</v>
      </c>
      <c r="Q89" s="430" t="e">
        <v>#REF!</v>
      </c>
      <c r="R89" s="430">
        <v>7948.1900000000023</v>
      </c>
      <c r="S89" s="430">
        <v>0</v>
      </c>
      <c r="T89" s="430">
        <v>7948.1900000000023</v>
      </c>
      <c r="U89" s="430">
        <v>7948.75</v>
      </c>
      <c r="V89" s="430">
        <v>15896.940000000002</v>
      </c>
      <c r="W89" s="430">
        <v>4550</v>
      </c>
      <c r="X89" s="430">
        <v>11346.940000000002</v>
      </c>
      <c r="Y89" s="430">
        <v>7960</v>
      </c>
      <c r="Z89" s="430">
        <v>19306.940000000002</v>
      </c>
      <c r="AB89" s="430"/>
    </row>
    <row r="90" spans="1:28" x14ac:dyDescent="0.25">
      <c r="A90" t="s">
        <v>363</v>
      </c>
      <c r="B90" t="s">
        <v>991</v>
      </c>
      <c r="C90" s="430">
        <v>7612.269999999995</v>
      </c>
      <c r="D90" s="430">
        <v>10705</v>
      </c>
      <c r="E90" s="430">
        <v>18317.269999999997</v>
      </c>
      <c r="F90" s="430"/>
      <c r="G90" s="430">
        <v>18317.269999999997</v>
      </c>
      <c r="H90" s="430">
        <v>10885</v>
      </c>
      <c r="I90" s="430">
        <v>22645.200000000001</v>
      </c>
      <c r="J90" s="430">
        <v>51847.47</v>
      </c>
      <c r="K90" s="430">
        <v>12559.92</v>
      </c>
      <c r="L90" s="430">
        <v>39287.550000000003</v>
      </c>
      <c r="M90" s="430">
        <v>11218</v>
      </c>
      <c r="N90" s="430">
        <v>50505.55</v>
      </c>
      <c r="O90" s="430">
        <v>0</v>
      </c>
      <c r="P90" s="430">
        <v>50505.55</v>
      </c>
      <c r="Q90" s="430" t="e">
        <v>#REF!</v>
      </c>
      <c r="R90" s="430">
        <v>61334.3</v>
      </c>
      <c r="S90" s="430">
        <v>7800</v>
      </c>
      <c r="T90" s="430">
        <v>53534.3</v>
      </c>
      <c r="U90" s="430">
        <v>10770.25</v>
      </c>
      <c r="V90" s="430">
        <v>64304.55</v>
      </c>
      <c r="W90" s="430">
        <v>34309.620000000003</v>
      </c>
      <c r="X90" s="430">
        <v>29994.93</v>
      </c>
      <c r="Y90" s="430">
        <v>10318</v>
      </c>
      <c r="Z90" s="430">
        <v>40312.93</v>
      </c>
      <c r="AB90" s="430"/>
    </row>
    <row r="91" spans="1:28" x14ac:dyDescent="0.25">
      <c r="A91" t="s">
        <v>367</v>
      </c>
      <c r="B91" t="s">
        <v>990</v>
      </c>
      <c r="C91" s="430">
        <v>9479.0300000000007</v>
      </c>
      <c r="D91" s="430">
        <v>8914</v>
      </c>
      <c r="E91" s="430">
        <v>18393.03</v>
      </c>
      <c r="F91" s="430">
        <v>10374.609999999999</v>
      </c>
      <c r="G91" s="430">
        <v>8018.42</v>
      </c>
      <c r="H91" s="430">
        <v>9013</v>
      </c>
      <c r="I91" s="430">
        <v>17303.759999999998</v>
      </c>
      <c r="J91" s="430">
        <v>34335.179999999993</v>
      </c>
      <c r="K91" s="430">
        <v>10264.560000000001</v>
      </c>
      <c r="L91" s="430">
        <v>24070.619999999992</v>
      </c>
      <c r="M91" s="430">
        <v>9071.5</v>
      </c>
      <c r="N91" s="430">
        <v>33142.119999999995</v>
      </c>
      <c r="O91" s="430">
        <v>20958.5</v>
      </c>
      <c r="P91" s="430">
        <v>12183.619999999995</v>
      </c>
      <c r="Q91" s="430" t="e">
        <v>#REF!</v>
      </c>
      <c r="R91" s="430">
        <v>20998.619999999995</v>
      </c>
      <c r="S91" s="430">
        <v>2431.17</v>
      </c>
      <c r="T91" s="430">
        <v>18567.449999999997</v>
      </c>
      <c r="U91" s="430">
        <v>8725</v>
      </c>
      <c r="V91" s="430">
        <v>27292.449999999997</v>
      </c>
      <c r="W91" s="430">
        <v>9827.19</v>
      </c>
      <c r="X91" s="430">
        <v>17465.259999999995</v>
      </c>
      <c r="Y91" s="430">
        <v>8497.75</v>
      </c>
      <c r="Z91" s="430">
        <v>25963.009999999995</v>
      </c>
      <c r="AB91" s="430"/>
    </row>
    <row r="92" spans="1:28" x14ac:dyDescent="0.25">
      <c r="A92" t="s">
        <v>369</v>
      </c>
      <c r="B92" s="42" t="s">
        <v>989</v>
      </c>
      <c r="C92" s="430">
        <v>0</v>
      </c>
      <c r="D92" s="430">
        <v>9053.5</v>
      </c>
      <c r="E92" s="430">
        <v>9053.5</v>
      </c>
      <c r="F92" s="430">
        <v>9053.5</v>
      </c>
      <c r="G92" s="430">
        <v>0</v>
      </c>
      <c r="H92" s="430">
        <v>9022</v>
      </c>
      <c r="I92" s="430">
        <v>17329.439999999999</v>
      </c>
      <c r="J92" s="430">
        <v>26351.439999999999</v>
      </c>
      <c r="K92" s="430">
        <v>4977.8999999999996</v>
      </c>
      <c r="L92" s="430">
        <v>21373.54</v>
      </c>
      <c r="M92" s="430">
        <v>9114.25</v>
      </c>
      <c r="N92" s="430">
        <v>30487.79</v>
      </c>
      <c r="O92" s="430">
        <v>30487.79</v>
      </c>
      <c r="P92" s="430">
        <v>0</v>
      </c>
      <c r="Q92" s="430" t="e">
        <v>#REF!</v>
      </c>
      <c r="R92" s="430">
        <v>9242.5</v>
      </c>
      <c r="S92" s="430">
        <v>3280</v>
      </c>
      <c r="T92" s="430">
        <v>5962.5</v>
      </c>
      <c r="U92" s="430">
        <v>9082.75</v>
      </c>
      <c r="V92" s="430">
        <v>15045.25</v>
      </c>
      <c r="W92" s="430">
        <v>12509.68</v>
      </c>
      <c r="X92" s="430">
        <v>2535.5699999999997</v>
      </c>
      <c r="Y92" s="430">
        <v>9058</v>
      </c>
      <c r="Z92" s="430">
        <v>11593.57</v>
      </c>
      <c r="AB92" s="430"/>
    </row>
    <row r="93" spans="1:28" x14ac:dyDescent="0.25">
      <c r="A93" t="s">
        <v>373</v>
      </c>
      <c r="B93" t="s">
        <v>988</v>
      </c>
      <c r="C93" s="430">
        <v>0</v>
      </c>
      <c r="D93" s="430">
        <v>8050</v>
      </c>
      <c r="E93" s="430">
        <v>8050</v>
      </c>
      <c r="F93" s="430">
        <v>8050</v>
      </c>
      <c r="G93" s="430">
        <v>0</v>
      </c>
      <c r="H93" s="430">
        <v>8050</v>
      </c>
      <c r="I93" s="430">
        <v>14556</v>
      </c>
      <c r="J93" s="430">
        <v>22606</v>
      </c>
      <c r="K93" s="430">
        <v>0</v>
      </c>
      <c r="L93" s="430">
        <v>22606</v>
      </c>
      <c r="M93" s="430">
        <v>8050</v>
      </c>
      <c r="N93" s="430">
        <v>30656</v>
      </c>
      <c r="O93" s="430">
        <v>30656</v>
      </c>
      <c r="P93" s="430">
        <v>0</v>
      </c>
      <c r="Q93" s="430" t="e">
        <v>#REF!</v>
      </c>
      <c r="R93" s="430">
        <v>8038.75</v>
      </c>
      <c r="S93" s="430">
        <v>0</v>
      </c>
      <c r="T93" s="430">
        <v>8038.75</v>
      </c>
      <c r="U93" s="430">
        <v>8050</v>
      </c>
      <c r="V93" s="430">
        <v>16088.75</v>
      </c>
      <c r="W93" s="430">
        <v>0</v>
      </c>
      <c r="X93" s="430">
        <v>16088.75</v>
      </c>
      <c r="Y93" s="430">
        <v>8016.25</v>
      </c>
      <c r="Z93" s="430">
        <v>24105</v>
      </c>
      <c r="AB93" s="430"/>
    </row>
    <row r="94" spans="1:28" x14ac:dyDescent="0.25">
      <c r="A94" t="s">
        <v>375</v>
      </c>
      <c r="B94" t="s">
        <v>987</v>
      </c>
      <c r="C94" s="430">
        <v>0</v>
      </c>
      <c r="D94" s="430">
        <v>12424</v>
      </c>
      <c r="E94" s="430">
        <v>12424</v>
      </c>
      <c r="F94" s="430"/>
      <c r="G94" s="430">
        <v>12424</v>
      </c>
      <c r="H94" s="430">
        <v>12374.5</v>
      </c>
      <c r="I94" s="430">
        <v>26895.24</v>
      </c>
      <c r="J94" s="430">
        <v>51693.740000000005</v>
      </c>
      <c r="K94" s="430">
        <v>4295</v>
      </c>
      <c r="L94" s="430">
        <v>47398.740000000005</v>
      </c>
      <c r="M94" s="430">
        <v>12370</v>
      </c>
      <c r="N94" s="430">
        <v>59768.740000000005</v>
      </c>
      <c r="O94" s="430">
        <v>19131.2</v>
      </c>
      <c r="P94" s="430">
        <v>40637.540000000008</v>
      </c>
      <c r="Q94" s="430" t="e">
        <v>#REF!</v>
      </c>
      <c r="R94" s="430">
        <v>52928.790000000008</v>
      </c>
      <c r="S94" s="430">
        <v>28361.370000000003</v>
      </c>
      <c r="T94" s="430">
        <v>24567.420000000006</v>
      </c>
      <c r="U94" s="430">
        <v>12002.12</v>
      </c>
      <c r="V94" s="430">
        <v>36569.540000000008</v>
      </c>
      <c r="W94" s="430">
        <v>2847</v>
      </c>
      <c r="X94" s="430">
        <v>33722.540000000008</v>
      </c>
      <c r="Y94" s="430">
        <v>11944.75</v>
      </c>
      <c r="Z94" s="430">
        <v>45667.290000000008</v>
      </c>
      <c r="AB94" s="430"/>
    </row>
    <row r="95" spans="1:28" ht="14.4" x14ac:dyDescent="0.3">
      <c r="A95" t="s">
        <v>385</v>
      </c>
      <c r="B95" t="s">
        <v>986</v>
      </c>
      <c r="C95" s="430">
        <v>410.09999999999854</v>
      </c>
      <c r="D95" s="430">
        <v>9546.25</v>
      </c>
      <c r="E95" s="430">
        <v>9956.3499999999985</v>
      </c>
      <c r="F95" s="430">
        <v>8700.0499999999993</v>
      </c>
      <c r="G95" s="430">
        <v>1256.2999999999993</v>
      </c>
      <c r="H95" s="430">
        <v>8837.5</v>
      </c>
      <c r="I95" s="430">
        <v>16803</v>
      </c>
      <c r="J95" s="430">
        <v>26896.799999999999</v>
      </c>
      <c r="K95" s="430">
        <v>8868.09</v>
      </c>
      <c r="L95" s="430">
        <v>18028.71</v>
      </c>
      <c r="M95" s="430">
        <v>7663</v>
      </c>
      <c r="N95" s="430">
        <v>25691.71</v>
      </c>
      <c r="O95" s="430">
        <v>5735.78</v>
      </c>
      <c r="P95" s="430">
        <v>19955.93</v>
      </c>
      <c r="Q95" s="430" t="e">
        <v>#REF!</v>
      </c>
      <c r="R95" s="430">
        <v>27731.43</v>
      </c>
      <c r="S95" s="430">
        <v>15972.100000000006</v>
      </c>
      <c r="T95" s="430">
        <v>11759.329999999994</v>
      </c>
      <c r="U95" s="435">
        <v>8178.25</v>
      </c>
      <c r="V95" s="430">
        <v>19937.579999999994</v>
      </c>
      <c r="W95" s="430">
        <v>9392.9999999999982</v>
      </c>
      <c r="X95" s="430">
        <v>10544.579999999996</v>
      </c>
      <c r="Y95" s="430">
        <v>8444.8799999999992</v>
      </c>
      <c r="Z95" s="430">
        <v>18989.459999999995</v>
      </c>
      <c r="AB95" s="430"/>
    </row>
    <row r="96" spans="1:28" x14ac:dyDescent="0.25">
      <c r="A96" t="s">
        <v>409</v>
      </c>
      <c r="B96" t="s">
        <v>985</v>
      </c>
      <c r="C96" s="430">
        <v>391.54999999999927</v>
      </c>
      <c r="D96" s="430">
        <v>8691.25</v>
      </c>
      <c r="E96" s="430">
        <v>9082.7999999999993</v>
      </c>
      <c r="F96" s="430">
        <v>7429.84</v>
      </c>
      <c r="G96" s="430">
        <v>1652.9599999999991</v>
      </c>
      <c r="H96" s="430">
        <v>8691.25</v>
      </c>
      <c r="I96" s="430">
        <v>16385.7</v>
      </c>
      <c r="J96" s="430">
        <v>26729.91</v>
      </c>
      <c r="K96" s="430">
        <v>2950</v>
      </c>
      <c r="L96" s="430">
        <v>23779.91</v>
      </c>
      <c r="M96" s="430">
        <v>8736.25</v>
      </c>
      <c r="N96" s="430">
        <v>32516.16</v>
      </c>
      <c r="O96" s="430">
        <v>19118.04</v>
      </c>
      <c r="P96" s="430">
        <v>13398.119999999999</v>
      </c>
      <c r="Q96" s="430" t="e">
        <v>#REF!</v>
      </c>
      <c r="R96" s="430">
        <v>22145.62</v>
      </c>
      <c r="S96" s="430">
        <v>4445.67</v>
      </c>
      <c r="T96" s="430">
        <v>17699.949999999997</v>
      </c>
      <c r="U96" s="430">
        <v>8725</v>
      </c>
      <c r="V96" s="430">
        <v>26424.949999999997</v>
      </c>
      <c r="W96" s="430">
        <v>11198.97</v>
      </c>
      <c r="X96" s="430">
        <v>15225.979999999998</v>
      </c>
      <c r="Y96" s="430">
        <v>8680</v>
      </c>
      <c r="Z96" s="430">
        <v>23905.979999999996</v>
      </c>
      <c r="AB96" s="430"/>
    </row>
    <row r="97" spans="1:28" x14ac:dyDescent="0.25">
      <c r="A97" t="s">
        <v>428</v>
      </c>
      <c r="B97" t="s">
        <v>984</v>
      </c>
      <c r="C97" s="430">
        <v>9792.4000000000015</v>
      </c>
      <c r="D97" s="430">
        <v>7712.5</v>
      </c>
      <c r="E97" s="430">
        <v>17504.900000000001</v>
      </c>
      <c r="F97" s="430">
        <v>14267.46</v>
      </c>
      <c r="G97" s="430">
        <v>3237.4400000000023</v>
      </c>
      <c r="H97" s="430">
        <v>8027.5</v>
      </c>
      <c r="I97" s="430">
        <v>14491.8</v>
      </c>
      <c r="J97" s="430">
        <v>25756.74</v>
      </c>
      <c r="K97" s="430">
        <v>3642</v>
      </c>
      <c r="L97" s="430">
        <v>22114.74</v>
      </c>
      <c r="M97" s="430">
        <v>8365</v>
      </c>
      <c r="N97" s="430">
        <v>30479.74</v>
      </c>
      <c r="O97" s="430">
        <v>16701.2</v>
      </c>
      <c r="P97" s="430">
        <v>13778.54</v>
      </c>
      <c r="Q97" s="432"/>
      <c r="R97" s="430">
        <v>13778.54</v>
      </c>
      <c r="S97" s="430">
        <v>0</v>
      </c>
      <c r="T97" s="430">
        <v>13778.54</v>
      </c>
      <c r="U97" s="430"/>
      <c r="V97" s="430">
        <v>13778.54</v>
      </c>
      <c r="W97" s="430">
        <v>12385.5</v>
      </c>
      <c r="X97" s="430">
        <v>1393.0400000000009</v>
      </c>
      <c r="Y97" s="430">
        <v>0</v>
      </c>
      <c r="Z97" s="430">
        <v>1393.0400000000009</v>
      </c>
      <c r="AB97" s="430"/>
    </row>
    <row r="98" spans="1:28" x14ac:dyDescent="0.25">
      <c r="A98" t="s">
        <v>432</v>
      </c>
      <c r="B98" s="42" t="s">
        <v>983</v>
      </c>
      <c r="C98" s="430">
        <v>0</v>
      </c>
      <c r="D98" s="430">
        <v>6340</v>
      </c>
      <c r="E98" s="430">
        <v>6340</v>
      </c>
      <c r="F98" s="430"/>
      <c r="G98" s="430">
        <v>6340</v>
      </c>
      <c r="H98" s="430">
        <v>6328.75</v>
      </c>
      <c r="I98" s="430">
        <v>9644.7000000000007</v>
      </c>
      <c r="J98" s="430">
        <v>22313.45</v>
      </c>
      <c r="K98" s="430">
        <v>0</v>
      </c>
      <c r="L98" s="430">
        <v>22313.45</v>
      </c>
      <c r="M98" s="430">
        <v>6295</v>
      </c>
      <c r="N98" s="430">
        <v>28608.45</v>
      </c>
      <c r="O98" s="430">
        <v>28608</v>
      </c>
      <c r="P98" s="430">
        <v>0.4500000000007276</v>
      </c>
      <c r="Q98" s="430" t="e">
        <v>#REF!</v>
      </c>
      <c r="R98" s="430">
        <v>6362.9500000000007</v>
      </c>
      <c r="S98" s="430">
        <v>6362.32</v>
      </c>
      <c r="T98" s="430">
        <v>0.63000000000101863</v>
      </c>
      <c r="U98" s="430">
        <v>6351.25</v>
      </c>
      <c r="V98" s="430">
        <v>6351.880000000001</v>
      </c>
      <c r="W98" s="430">
        <v>0</v>
      </c>
      <c r="X98" s="430">
        <v>6351.880000000001</v>
      </c>
      <c r="Y98" s="430">
        <v>6250</v>
      </c>
      <c r="Z98" s="430">
        <v>12601.880000000001</v>
      </c>
      <c r="AB98" s="430"/>
    </row>
    <row r="99" spans="1:28" x14ac:dyDescent="0.25">
      <c r="A99" t="s">
        <v>436</v>
      </c>
      <c r="B99" t="s">
        <v>982</v>
      </c>
      <c r="C99" s="430">
        <v>-450.5</v>
      </c>
      <c r="D99" s="430">
        <v>8974.75</v>
      </c>
      <c r="E99" s="430">
        <v>8524.25</v>
      </c>
      <c r="F99" s="430"/>
      <c r="G99" s="430">
        <v>8524.25</v>
      </c>
      <c r="H99" s="430"/>
      <c r="I99" s="430">
        <v>0</v>
      </c>
      <c r="J99" s="430">
        <v>8524.25</v>
      </c>
      <c r="K99" s="430">
        <v>0</v>
      </c>
      <c r="L99" s="430">
        <v>8524.25</v>
      </c>
      <c r="M99" s="430"/>
      <c r="N99" s="430">
        <v>8524.25</v>
      </c>
      <c r="O99" s="430">
        <v>0</v>
      </c>
      <c r="P99" s="430">
        <v>8524.25</v>
      </c>
      <c r="Q99" s="432"/>
      <c r="R99" s="430">
        <v>8524.25</v>
      </c>
      <c r="S99" s="430">
        <v>0</v>
      </c>
      <c r="T99" s="430">
        <v>8524.25</v>
      </c>
      <c r="U99" s="430"/>
      <c r="V99" s="430">
        <v>8524.25</v>
      </c>
      <c r="W99" s="430">
        <v>0</v>
      </c>
      <c r="X99" s="430">
        <v>8524.25</v>
      </c>
      <c r="Y99" s="430">
        <v>0</v>
      </c>
      <c r="Z99" s="430">
        <v>8524.25</v>
      </c>
      <c r="AB99" s="430"/>
    </row>
    <row r="100" spans="1:28" x14ac:dyDescent="0.25">
      <c r="A100" t="s">
        <v>440</v>
      </c>
      <c r="B100" t="s">
        <v>981</v>
      </c>
      <c r="C100" s="430">
        <v>17360.050000000003</v>
      </c>
      <c r="D100" s="430">
        <v>8623.75</v>
      </c>
      <c r="E100" s="430">
        <v>25983.800000000003</v>
      </c>
      <c r="F100" s="430">
        <v>4455.6099999999997</v>
      </c>
      <c r="G100" s="430">
        <v>21528.190000000002</v>
      </c>
      <c r="H100" s="430">
        <v>8691.25</v>
      </c>
      <c r="I100" s="430">
        <v>16385.7</v>
      </c>
      <c r="J100" s="430">
        <v>46605.14</v>
      </c>
      <c r="K100" s="430">
        <v>0</v>
      </c>
      <c r="L100" s="430">
        <v>46605.14</v>
      </c>
      <c r="M100" s="430">
        <v>8623.75</v>
      </c>
      <c r="N100" s="430">
        <v>55228.89</v>
      </c>
      <c r="O100" s="430">
        <v>0</v>
      </c>
      <c r="P100" s="430">
        <v>55228.89</v>
      </c>
      <c r="Q100" s="430" t="e">
        <v>#REF!</v>
      </c>
      <c r="R100" s="430">
        <v>63875.14</v>
      </c>
      <c r="S100" s="430">
        <v>63419.29</v>
      </c>
      <c r="T100" s="430">
        <v>455.84999999999854</v>
      </c>
      <c r="U100" s="430">
        <v>8612.5</v>
      </c>
      <c r="V100" s="430">
        <v>9068.3499999999985</v>
      </c>
      <c r="W100" s="430">
        <v>0</v>
      </c>
      <c r="X100" s="430">
        <v>9068.3499999999985</v>
      </c>
      <c r="Y100" s="430">
        <v>8601.25</v>
      </c>
      <c r="Z100" s="430">
        <v>17669.599999999999</v>
      </c>
      <c r="AB100" s="430"/>
    </row>
    <row r="101" spans="1:28" x14ac:dyDescent="0.25">
      <c r="A101" t="s">
        <v>448</v>
      </c>
      <c r="B101" t="s">
        <v>980</v>
      </c>
      <c r="C101" s="430">
        <v>8301.83</v>
      </c>
      <c r="D101" s="430">
        <v>6544.75</v>
      </c>
      <c r="E101" s="430">
        <v>14846.58</v>
      </c>
      <c r="F101" s="430">
        <v>14769.529999999999</v>
      </c>
      <c r="G101" s="430">
        <v>77.050000000001091</v>
      </c>
      <c r="H101" s="430">
        <v>6848.5</v>
      </c>
      <c r="I101" s="430">
        <v>11127.72</v>
      </c>
      <c r="J101" s="430">
        <v>18053.27</v>
      </c>
      <c r="K101" s="430">
        <v>4360.7300000000005</v>
      </c>
      <c r="L101" s="430">
        <v>13692.54</v>
      </c>
      <c r="M101" s="430">
        <v>6754</v>
      </c>
      <c r="N101" s="430">
        <v>20446.54</v>
      </c>
      <c r="O101" s="430">
        <v>1650</v>
      </c>
      <c r="P101" s="430">
        <v>18796.54</v>
      </c>
      <c r="Q101" s="430" t="e">
        <v>#REF!</v>
      </c>
      <c r="R101" s="430">
        <v>25573.040000000001</v>
      </c>
      <c r="S101" s="430">
        <v>22822.6</v>
      </c>
      <c r="T101" s="430">
        <v>2750.4400000000023</v>
      </c>
      <c r="U101" s="430">
        <v>6877.75</v>
      </c>
      <c r="V101" s="430">
        <v>9628.1900000000023</v>
      </c>
      <c r="W101" s="430">
        <v>3405</v>
      </c>
      <c r="X101" s="430">
        <v>6223.1900000000023</v>
      </c>
      <c r="Y101" s="430">
        <v>6693.25</v>
      </c>
      <c r="Z101" s="430">
        <v>12916.440000000002</v>
      </c>
      <c r="AB101" s="430"/>
    </row>
    <row r="102" spans="1:28" x14ac:dyDescent="0.25">
      <c r="A102" t="s">
        <v>450</v>
      </c>
      <c r="B102" t="s">
        <v>979</v>
      </c>
      <c r="C102" s="430">
        <v>34863.020000000004</v>
      </c>
      <c r="D102" s="430">
        <v>23881</v>
      </c>
      <c r="E102" s="430">
        <v>58744.020000000004</v>
      </c>
      <c r="F102" s="430"/>
      <c r="G102" s="430">
        <v>58744.020000000004</v>
      </c>
      <c r="H102" s="430">
        <v>27803.88</v>
      </c>
      <c r="I102" s="430">
        <v>70920.39</v>
      </c>
      <c r="J102" s="430">
        <v>157468.29</v>
      </c>
      <c r="K102" s="430">
        <v>0</v>
      </c>
      <c r="L102" s="430">
        <v>157468.29</v>
      </c>
      <c r="M102" s="430">
        <v>30371.13</v>
      </c>
      <c r="N102" s="430">
        <v>187839.42</v>
      </c>
      <c r="O102" s="430">
        <v>47000</v>
      </c>
      <c r="P102" s="430">
        <v>140839.42000000001</v>
      </c>
      <c r="Q102" s="432"/>
      <c r="R102" s="430">
        <v>140839.42000000001</v>
      </c>
      <c r="S102" s="430">
        <v>174070.3</v>
      </c>
      <c r="T102" s="430">
        <v>-33230.879999999976</v>
      </c>
      <c r="U102" s="430"/>
      <c r="V102" s="430">
        <v>-33230.879999999976</v>
      </c>
      <c r="W102" s="430">
        <v>0</v>
      </c>
      <c r="X102" s="430">
        <v>-33230.879999999976</v>
      </c>
      <c r="Y102" s="430">
        <v>0</v>
      </c>
      <c r="Z102" s="430">
        <v>-33230.879999999976</v>
      </c>
      <c r="AB102" s="430"/>
    </row>
    <row r="103" spans="1:28" x14ac:dyDescent="0.25">
      <c r="A103" t="s">
        <v>451</v>
      </c>
      <c r="B103" t="s">
        <v>978</v>
      </c>
      <c r="C103" s="430">
        <v>0</v>
      </c>
      <c r="D103" s="430">
        <v>8173.75</v>
      </c>
      <c r="E103" s="430">
        <v>8173.75</v>
      </c>
      <c r="F103" s="430">
        <v>8173.75</v>
      </c>
      <c r="G103" s="430">
        <v>0</v>
      </c>
      <c r="H103" s="430">
        <v>8515.75</v>
      </c>
      <c r="I103" s="430">
        <v>15884.94</v>
      </c>
      <c r="J103" s="430">
        <v>24400.690000000002</v>
      </c>
      <c r="K103" s="430">
        <v>8515.75</v>
      </c>
      <c r="L103" s="430">
        <v>15884.940000000002</v>
      </c>
      <c r="M103" s="430">
        <v>8887</v>
      </c>
      <c r="N103" s="430">
        <v>24771.940000000002</v>
      </c>
      <c r="O103" s="430">
        <v>23305</v>
      </c>
      <c r="P103" s="430">
        <v>1466.9400000000023</v>
      </c>
      <c r="Q103" s="430" t="e">
        <v>#REF!</v>
      </c>
      <c r="R103" s="430">
        <v>10347.190000000002</v>
      </c>
      <c r="S103" s="430">
        <v>3796</v>
      </c>
      <c r="T103" s="430">
        <v>6551.1900000000023</v>
      </c>
      <c r="U103" s="430">
        <v>8824</v>
      </c>
      <c r="V103" s="430">
        <v>15375.190000000002</v>
      </c>
      <c r="W103" s="430">
        <v>9000</v>
      </c>
      <c r="X103" s="430">
        <v>6375.1900000000023</v>
      </c>
      <c r="Y103" s="430">
        <v>8718.25</v>
      </c>
      <c r="Z103" s="430">
        <v>15093.440000000002</v>
      </c>
      <c r="AB103" s="430"/>
    </row>
    <row r="104" spans="1:28" x14ac:dyDescent="0.25">
      <c r="A104" t="s">
        <v>453</v>
      </c>
      <c r="B104" t="s">
        <v>977</v>
      </c>
      <c r="C104" s="430">
        <v>16883.259999999998</v>
      </c>
      <c r="D104" s="430">
        <v>8853.25</v>
      </c>
      <c r="E104" s="430">
        <v>25736.51</v>
      </c>
      <c r="F104" s="430">
        <v>2939</v>
      </c>
      <c r="G104" s="430">
        <v>22797.51</v>
      </c>
      <c r="H104" s="430">
        <v>8891.5</v>
      </c>
      <c r="I104" s="430">
        <v>16957.080000000002</v>
      </c>
      <c r="J104" s="430">
        <v>48646.09</v>
      </c>
      <c r="K104" s="430">
        <v>16242</v>
      </c>
      <c r="L104" s="430">
        <v>32404.089999999997</v>
      </c>
      <c r="M104" s="430">
        <v>8911.75</v>
      </c>
      <c r="N104" s="430">
        <v>41315.839999999997</v>
      </c>
      <c r="O104" s="430">
        <v>30903.19</v>
      </c>
      <c r="P104" s="430">
        <v>10412.649999999998</v>
      </c>
      <c r="Q104" s="430" t="e">
        <v>#REF!</v>
      </c>
      <c r="R104" s="430">
        <v>19227.649999999998</v>
      </c>
      <c r="S104" s="430">
        <v>8608.52</v>
      </c>
      <c r="T104" s="430">
        <v>10619.129999999997</v>
      </c>
      <c r="U104" s="430">
        <v>8511.25</v>
      </c>
      <c r="V104" s="430">
        <v>19130.379999999997</v>
      </c>
      <c r="W104" s="430">
        <v>1867.6399999999994</v>
      </c>
      <c r="X104" s="430">
        <v>17262.739999999998</v>
      </c>
      <c r="Y104" s="430">
        <v>8518</v>
      </c>
      <c r="Z104" s="430">
        <v>25780.739999999998</v>
      </c>
      <c r="AB104" s="430"/>
    </row>
    <row r="105" spans="1:28" x14ac:dyDescent="0.25">
      <c r="A105" t="s">
        <v>455</v>
      </c>
      <c r="B105" t="s">
        <v>976</v>
      </c>
      <c r="C105" s="430">
        <v>-0.38999999999941792</v>
      </c>
      <c r="D105" s="430">
        <v>6238.75</v>
      </c>
      <c r="E105" s="430">
        <v>6238.3600000000006</v>
      </c>
      <c r="F105" s="430">
        <v>6048</v>
      </c>
      <c r="G105" s="430">
        <v>190.36000000000058</v>
      </c>
      <c r="H105" s="430">
        <v>6250</v>
      </c>
      <c r="I105" s="430">
        <v>9420</v>
      </c>
      <c r="J105" s="430">
        <v>15860.36</v>
      </c>
      <c r="K105" s="430">
        <v>7233.4599999999991</v>
      </c>
      <c r="L105" s="430">
        <v>8626.9000000000015</v>
      </c>
      <c r="M105" s="430">
        <v>6182.5</v>
      </c>
      <c r="N105" s="430">
        <v>14809.400000000001</v>
      </c>
      <c r="O105" s="430">
        <v>14609.18</v>
      </c>
      <c r="P105" s="430">
        <v>200.22000000000116</v>
      </c>
      <c r="Q105" s="430" t="e">
        <v>#REF!</v>
      </c>
      <c r="R105" s="430">
        <v>6393.9700000000012</v>
      </c>
      <c r="S105" s="430">
        <v>9301.2799999999988</v>
      </c>
      <c r="T105" s="430">
        <v>-2907.3099999999977</v>
      </c>
      <c r="U105" s="430">
        <v>6058.75</v>
      </c>
      <c r="V105" s="430">
        <v>3151.4400000000023</v>
      </c>
      <c r="W105" s="430">
        <v>-3199</v>
      </c>
      <c r="X105" s="430">
        <v>6350.4400000000023</v>
      </c>
      <c r="Y105" s="430">
        <v>6103.75</v>
      </c>
      <c r="Z105" s="430">
        <v>12454.190000000002</v>
      </c>
      <c r="AB105" s="430"/>
    </row>
    <row r="106" spans="1:28" x14ac:dyDescent="0.25">
      <c r="A106" t="s">
        <v>457</v>
      </c>
      <c r="B106" s="42" t="s">
        <v>975</v>
      </c>
      <c r="C106" s="430">
        <v>44892.780000000006</v>
      </c>
      <c r="D106" s="430">
        <v>12055</v>
      </c>
      <c r="E106" s="430">
        <v>56947.780000000006</v>
      </c>
      <c r="F106" s="430">
        <v>9301.7000000000007</v>
      </c>
      <c r="G106" s="430">
        <v>47646.080000000002</v>
      </c>
      <c r="H106" s="430">
        <v>11762.5</v>
      </c>
      <c r="I106" s="430">
        <v>25149</v>
      </c>
      <c r="J106" s="430">
        <v>84557.58</v>
      </c>
      <c r="K106" s="430">
        <v>28673.77</v>
      </c>
      <c r="L106" s="430">
        <v>55883.81</v>
      </c>
      <c r="M106" s="430">
        <v>11391.25</v>
      </c>
      <c r="N106" s="430">
        <v>67275.06</v>
      </c>
      <c r="O106" s="430">
        <v>67275.06</v>
      </c>
      <c r="P106" s="430">
        <v>0</v>
      </c>
      <c r="Q106" s="430" t="e">
        <v>#REF!</v>
      </c>
      <c r="R106" s="430">
        <v>11087.5</v>
      </c>
      <c r="S106" s="430">
        <v>6487</v>
      </c>
      <c r="T106" s="430">
        <v>4600.5</v>
      </c>
      <c r="U106" s="430">
        <v>10738.75</v>
      </c>
      <c r="V106" s="430">
        <v>15339.25</v>
      </c>
      <c r="W106" s="430">
        <v>10570.24</v>
      </c>
      <c r="X106" s="430">
        <v>4769.01</v>
      </c>
      <c r="Y106" s="430">
        <v>10412.5</v>
      </c>
      <c r="Z106" s="430">
        <v>15181.51</v>
      </c>
      <c r="AB106" s="430"/>
    </row>
    <row r="107" spans="1:28" x14ac:dyDescent="0.25">
      <c r="A107" t="s">
        <v>459</v>
      </c>
      <c r="B107" s="42" t="s">
        <v>974</v>
      </c>
      <c r="C107" s="430">
        <v>7562</v>
      </c>
      <c r="D107" s="430">
        <v>7467.25</v>
      </c>
      <c r="E107" s="430">
        <v>15029.25</v>
      </c>
      <c r="F107" s="430"/>
      <c r="G107" s="430">
        <v>15029.25</v>
      </c>
      <c r="H107" s="430">
        <v>7503.25</v>
      </c>
      <c r="I107" s="430">
        <v>12995.94</v>
      </c>
      <c r="J107" s="430">
        <v>35528.44</v>
      </c>
      <c r="K107" s="430">
        <v>0</v>
      </c>
      <c r="L107" s="430">
        <v>35528.44</v>
      </c>
      <c r="M107" s="430">
        <v>7673.13</v>
      </c>
      <c r="N107" s="430">
        <v>43201.57</v>
      </c>
      <c r="O107" s="430">
        <v>43202</v>
      </c>
      <c r="P107" s="430">
        <v>-0.43000000000029104</v>
      </c>
      <c r="Q107" s="430" t="e">
        <v>#REF!</v>
      </c>
      <c r="R107" s="430">
        <v>7685.07</v>
      </c>
      <c r="S107" s="430">
        <v>7685</v>
      </c>
      <c r="T107" s="430">
        <v>6.9999999999708962E-2</v>
      </c>
      <c r="U107" s="430">
        <v>7699</v>
      </c>
      <c r="V107" s="430">
        <v>7699.07</v>
      </c>
      <c r="W107" s="430">
        <v>0</v>
      </c>
      <c r="X107" s="430">
        <v>7699.07</v>
      </c>
      <c r="Y107" s="430">
        <v>7663</v>
      </c>
      <c r="Z107" s="430">
        <v>15362.07</v>
      </c>
      <c r="AB107" s="430"/>
    </row>
    <row r="108" spans="1:28" x14ac:dyDescent="0.25">
      <c r="A108" t="s">
        <v>461</v>
      </c>
      <c r="B108" s="42" t="s">
        <v>973</v>
      </c>
      <c r="C108" s="430">
        <v>16089</v>
      </c>
      <c r="D108" s="430">
        <v>8038.75</v>
      </c>
      <c r="E108" s="430">
        <v>24127.75</v>
      </c>
      <c r="F108" s="430">
        <v>24127.5</v>
      </c>
      <c r="G108" s="430">
        <v>0.25</v>
      </c>
      <c r="H108" s="430">
        <v>8027.5</v>
      </c>
      <c r="I108" s="430">
        <v>14491.8</v>
      </c>
      <c r="J108" s="430">
        <v>22519.55</v>
      </c>
      <c r="K108" s="430">
        <v>0</v>
      </c>
      <c r="L108" s="430">
        <v>22519.55</v>
      </c>
      <c r="M108" s="430">
        <v>8061.25</v>
      </c>
      <c r="N108" s="430">
        <v>30580.799999999999</v>
      </c>
      <c r="O108" s="430">
        <v>14492</v>
      </c>
      <c r="P108" s="430">
        <v>16088.8</v>
      </c>
      <c r="Q108" s="430" t="e">
        <v>#REF!</v>
      </c>
      <c r="R108" s="430">
        <v>24127.55</v>
      </c>
      <c r="S108" s="430">
        <v>0</v>
      </c>
      <c r="T108" s="430">
        <v>24127.55</v>
      </c>
      <c r="U108" s="430">
        <v>8038.75</v>
      </c>
      <c r="V108" s="430">
        <v>32166.3</v>
      </c>
      <c r="W108" s="430">
        <v>0</v>
      </c>
      <c r="X108" s="430">
        <v>32166.3</v>
      </c>
      <c r="Y108" s="430">
        <v>8038.75</v>
      </c>
      <c r="Z108" s="430">
        <v>40205.050000000003</v>
      </c>
      <c r="AB108" s="430"/>
    </row>
    <row r="109" spans="1:28" x14ac:dyDescent="0.25">
      <c r="A109" t="s">
        <v>463</v>
      </c>
      <c r="B109" t="s">
        <v>972</v>
      </c>
      <c r="C109" s="430">
        <v>83188.679999999993</v>
      </c>
      <c r="D109" s="430">
        <v>13234</v>
      </c>
      <c r="E109" s="430">
        <v>96422.68</v>
      </c>
      <c r="F109" s="430">
        <v>46258</v>
      </c>
      <c r="G109" s="430">
        <v>50164.679999999993</v>
      </c>
      <c r="H109" s="430">
        <v>13834.75</v>
      </c>
      <c r="I109" s="430">
        <v>31061.82</v>
      </c>
      <c r="J109" s="430">
        <v>95061.25</v>
      </c>
      <c r="K109" s="430">
        <v>0</v>
      </c>
      <c r="L109" s="430">
        <v>95061.25</v>
      </c>
      <c r="M109" s="430">
        <v>14194.75</v>
      </c>
      <c r="N109" s="430">
        <v>109256</v>
      </c>
      <c r="O109" s="430">
        <v>20701.5</v>
      </c>
      <c r="P109" s="430">
        <v>88554.5</v>
      </c>
      <c r="Q109" s="430" t="e">
        <v>#REF!</v>
      </c>
      <c r="R109" s="430">
        <v>102589.5</v>
      </c>
      <c r="S109" s="430">
        <v>3876.32</v>
      </c>
      <c r="T109" s="430">
        <v>98713.18</v>
      </c>
      <c r="U109" s="430">
        <v>14199.25</v>
      </c>
      <c r="V109" s="430">
        <v>112912.43</v>
      </c>
      <c r="W109" s="430">
        <v>9321</v>
      </c>
      <c r="X109" s="430">
        <v>103591.43</v>
      </c>
      <c r="Y109" s="430">
        <v>14107</v>
      </c>
      <c r="Z109" s="430">
        <v>117698.43</v>
      </c>
      <c r="AB109" s="430"/>
    </row>
    <row r="110" spans="1:28" x14ac:dyDescent="0.25">
      <c r="A110" t="s">
        <v>465</v>
      </c>
      <c r="B110" t="s">
        <v>971</v>
      </c>
      <c r="C110" s="430">
        <v>0</v>
      </c>
      <c r="D110" s="430">
        <v>6283.75</v>
      </c>
      <c r="E110" s="430">
        <v>6283.75</v>
      </c>
      <c r="F110" s="430"/>
      <c r="G110" s="430">
        <v>6283.75</v>
      </c>
      <c r="H110" s="430">
        <v>6295</v>
      </c>
      <c r="I110" s="430">
        <v>9548.4</v>
      </c>
      <c r="J110" s="430">
        <v>22127.15</v>
      </c>
      <c r="K110" s="430">
        <v>5254</v>
      </c>
      <c r="L110" s="430">
        <v>16873.150000000001</v>
      </c>
      <c r="M110" s="430">
        <v>6272.5</v>
      </c>
      <c r="N110" s="430">
        <v>23145.65</v>
      </c>
      <c r="O110" s="430">
        <v>4158</v>
      </c>
      <c r="P110" s="430">
        <v>18987.650000000001</v>
      </c>
      <c r="Q110" s="430" t="e">
        <v>#REF!</v>
      </c>
      <c r="R110" s="430">
        <v>25125.15</v>
      </c>
      <c r="S110" s="430">
        <v>4121.62</v>
      </c>
      <c r="T110" s="430">
        <v>21003.530000000002</v>
      </c>
      <c r="U110" s="430">
        <v>6238.75</v>
      </c>
      <c r="V110" s="430">
        <v>27242.280000000002</v>
      </c>
      <c r="W110" s="430">
        <v>3945</v>
      </c>
      <c r="X110" s="430">
        <v>23297.280000000002</v>
      </c>
      <c r="Y110" s="430">
        <v>5991.25</v>
      </c>
      <c r="Z110" s="430">
        <v>29288.530000000002</v>
      </c>
      <c r="AB110" s="430"/>
    </row>
    <row r="111" spans="1:28" x14ac:dyDescent="0.25">
      <c r="A111" t="s">
        <v>467</v>
      </c>
      <c r="B111" t="s">
        <v>970</v>
      </c>
      <c r="C111" s="430">
        <v>12533</v>
      </c>
      <c r="D111" s="430">
        <v>9107.5</v>
      </c>
      <c r="E111" s="430">
        <v>21640.5</v>
      </c>
      <c r="F111" s="430">
        <v>14404</v>
      </c>
      <c r="G111" s="430">
        <v>7236.5</v>
      </c>
      <c r="H111" s="430">
        <v>9440.5</v>
      </c>
      <c r="I111" s="430">
        <v>18523.560000000001</v>
      </c>
      <c r="J111" s="430">
        <v>35200.559999999998</v>
      </c>
      <c r="K111" s="430">
        <v>14983.16</v>
      </c>
      <c r="L111" s="430">
        <v>20217.399999999998</v>
      </c>
      <c r="M111" s="430">
        <v>9607</v>
      </c>
      <c r="N111" s="430">
        <v>29824.399999999998</v>
      </c>
      <c r="O111" s="430">
        <v>5085</v>
      </c>
      <c r="P111" s="430">
        <v>24739.399999999998</v>
      </c>
      <c r="Q111" s="430" t="e">
        <v>#REF!</v>
      </c>
      <c r="R111" s="430">
        <v>34407.149999999994</v>
      </c>
      <c r="S111" s="430">
        <v>7791</v>
      </c>
      <c r="T111" s="430">
        <v>26616.149999999994</v>
      </c>
      <c r="U111" s="430">
        <v>9159.25</v>
      </c>
      <c r="V111" s="430">
        <v>35775.399999999994</v>
      </c>
      <c r="W111" s="430">
        <v>0</v>
      </c>
      <c r="X111" s="430">
        <v>35775.399999999994</v>
      </c>
      <c r="Y111" s="430">
        <v>8972.5</v>
      </c>
      <c r="Z111" s="430">
        <v>44747.899999999994</v>
      </c>
      <c r="AB111" s="430"/>
    </row>
    <row r="112" spans="1:28" x14ac:dyDescent="0.25">
      <c r="A112" t="s">
        <v>469</v>
      </c>
      <c r="B112" s="42" t="s">
        <v>969</v>
      </c>
      <c r="C112" s="430">
        <v>0</v>
      </c>
      <c r="D112" s="430">
        <v>9145.75</v>
      </c>
      <c r="E112" s="430">
        <v>9145.75</v>
      </c>
      <c r="F112" s="430"/>
      <c r="G112" s="430">
        <v>9145.75</v>
      </c>
      <c r="H112" s="430">
        <v>9080.5</v>
      </c>
      <c r="I112" s="430">
        <v>17496.36</v>
      </c>
      <c r="J112" s="430">
        <v>35722.61</v>
      </c>
      <c r="K112" s="430">
        <v>0</v>
      </c>
      <c r="L112" s="430">
        <v>35722.61</v>
      </c>
      <c r="M112" s="430">
        <v>9076</v>
      </c>
      <c r="N112" s="430">
        <v>44798.61</v>
      </c>
      <c r="O112" s="430">
        <v>17496</v>
      </c>
      <c r="P112" s="430">
        <v>27302.61</v>
      </c>
      <c r="Q112" s="430" t="e">
        <v>#REF!</v>
      </c>
      <c r="R112" s="430">
        <v>36266.11</v>
      </c>
      <c r="S112" s="430">
        <v>36266</v>
      </c>
      <c r="T112" s="430">
        <v>0.11000000000058208</v>
      </c>
      <c r="U112" s="430">
        <v>8839.75</v>
      </c>
      <c r="V112" s="430">
        <v>8839.86</v>
      </c>
      <c r="W112" s="430">
        <v>0</v>
      </c>
      <c r="X112" s="430">
        <v>8839.86</v>
      </c>
      <c r="Y112" s="430">
        <v>8687.8799999999992</v>
      </c>
      <c r="Z112" s="430">
        <v>17527.739999999998</v>
      </c>
      <c r="AB112" s="430"/>
    </row>
    <row r="113" spans="1:28" x14ac:dyDescent="0.25">
      <c r="A113" t="s">
        <v>471</v>
      </c>
      <c r="B113" t="s">
        <v>968</v>
      </c>
      <c r="C113" s="430">
        <v>13506.919999999998</v>
      </c>
      <c r="D113" s="430">
        <v>6682</v>
      </c>
      <c r="E113" s="430">
        <v>20188.919999999998</v>
      </c>
      <c r="F113" s="430">
        <v>20188.919999999998</v>
      </c>
      <c r="G113" s="430">
        <v>0</v>
      </c>
      <c r="H113" s="430">
        <v>6621.25</v>
      </c>
      <c r="I113" s="430">
        <v>10479.299999999999</v>
      </c>
      <c r="J113" s="430">
        <v>17100.55</v>
      </c>
      <c r="K113" s="430">
        <v>2893.3</v>
      </c>
      <c r="L113" s="430">
        <v>14207.25</v>
      </c>
      <c r="M113" s="430">
        <v>6637</v>
      </c>
      <c r="N113" s="430">
        <v>20844.25</v>
      </c>
      <c r="O113" s="430">
        <v>0</v>
      </c>
      <c r="P113" s="430">
        <v>20844.25</v>
      </c>
      <c r="Q113" s="430" t="e">
        <v>#REF!</v>
      </c>
      <c r="R113" s="430">
        <v>27330.5</v>
      </c>
      <c r="S113" s="430">
        <v>1224</v>
      </c>
      <c r="T113" s="430">
        <v>26106.5</v>
      </c>
      <c r="U113" s="430">
        <v>6643.75</v>
      </c>
      <c r="V113" s="430">
        <v>32750.25</v>
      </c>
      <c r="W113" s="430">
        <v>-380</v>
      </c>
      <c r="X113" s="430">
        <v>33130.25</v>
      </c>
      <c r="Y113" s="430">
        <v>6551.5</v>
      </c>
      <c r="Z113" s="430">
        <v>39681.75</v>
      </c>
      <c r="AB113" s="430"/>
    </row>
    <row r="114" spans="1:28" x14ac:dyDescent="0.25">
      <c r="A114" t="s">
        <v>473</v>
      </c>
      <c r="B114" t="s">
        <v>967</v>
      </c>
      <c r="C114" s="430">
        <v>0</v>
      </c>
      <c r="D114" s="430">
        <v>8545</v>
      </c>
      <c r="E114" s="430">
        <v>8545</v>
      </c>
      <c r="F114" s="430">
        <v>8545</v>
      </c>
      <c r="G114" s="430">
        <v>0</v>
      </c>
      <c r="H114" s="430">
        <v>8657.5</v>
      </c>
      <c r="I114" s="430">
        <v>16289.4</v>
      </c>
      <c r="J114" s="430">
        <v>24946.9</v>
      </c>
      <c r="K114" s="430">
        <v>0</v>
      </c>
      <c r="L114" s="430">
        <v>24946.9</v>
      </c>
      <c r="M114" s="430">
        <v>8668.75</v>
      </c>
      <c r="N114" s="430">
        <v>33615.65</v>
      </c>
      <c r="O114" s="430">
        <v>28988.140000000003</v>
      </c>
      <c r="P114" s="430">
        <v>4627.5099999999984</v>
      </c>
      <c r="Q114" s="430" t="e">
        <v>#REF!</v>
      </c>
      <c r="R114" s="430">
        <v>13195.009999999998</v>
      </c>
      <c r="S114" s="430">
        <v>6360</v>
      </c>
      <c r="T114" s="430">
        <v>6835.0099999999984</v>
      </c>
      <c r="U114" s="430">
        <v>8545</v>
      </c>
      <c r="V114" s="430">
        <v>15380.009999999998</v>
      </c>
      <c r="W114" s="430">
        <v>9190</v>
      </c>
      <c r="X114" s="430">
        <v>6190.0099999999984</v>
      </c>
      <c r="Y114" s="430">
        <v>8522.5</v>
      </c>
      <c r="Z114" s="430">
        <v>14712.509999999998</v>
      </c>
      <c r="AB114" s="430"/>
    </row>
    <row r="115" spans="1:28" x14ac:dyDescent="0.25">
      <c r="A115" t="s">
        <v>475</v>
      </c>
      <c r="B115" t="s">
        <v>966</v>
      </c>
      <c r="C115" s="430">
        <v>51855.179999999993</v>
      </c>
      <c r="D115" s="430">
        <v>11443</v>
      </c>
      <c r="E115" s="430">
        <v>63298.179999999993</v>
      </c>
      <c r="F115" s="430">
        <v>63298.18</v>
      </c>
      <c r="G115" s="430">
        <v>0</v>
      </c>
      <c r="H115" s="430">
        <v>11425</v>
      </c>
      <c r="I115" s="430">
        <v>24186</v>
      </c>
      <c r="J115" s="430">
        <v>35611</v>
      </c>
      <c r="K115" s="430">
        <v>0</v>
      </c>
      <c r="L115" s="430">
        <v>35611</v>
      </c>
      <c r="M115" s="430">
        <v>11447.5</v>
      </c>
      <c r="N115" s="430">
        <v>47058.5</v>
      </c>
      <c r="O115" s="430">
        <v>23735</v>
      </c>
      <c r="P115" s="430">
        <v>23323.5</v>
      </c>
      <c r="Q115" s="430" t="e">
        <v>#REF!</v>
      </c>
      <c r="R115" s="430">
        <v>34722.85</v>
      </c>
      <c r="S115" s="430">
        <v>0</v>
      </c>
      <c r="T115" s="430">
        <v>34722.85</v>
      </c>
      <c r="U115" s="430">
        <v>11170.75</v>
      </c>
      <c r="V115" s="430">
        <v>45893.599999999999</v>
      </c>
      <c r="W115" s="430">
        <v>0</v>
      </c>
      <c r="X115" s="430">
        <v>45893.599999999999</v>
      </c>
      <c r="Y115" s="430">
        <v>11124.62</v>
      </c>
      <c r="Z115" s="430">
        <v>57018.22</v>
      </c>
      <c r="AB115" s="430"/>
    </row>
    <row r="116" spans="1:28" x14ac:dyDescent="0.25">
      <c r="A116" t="s">
        <v>477</v>
      </c>
      <c r="B116" t="s">
        <v>965</v>
      </c>
      <c r="C116" s="430">
        <v>9.9999999983992893E-3</v>
      </c>
      <c r="D116" s="430">
        <v>9400</v>
      </c>
      <c r="E116" s="430">
        <v>9400.0099999999984</v>
      </c>
      <c r="F116" s="430"/>
      <c r="G116" s="430">
        <v>9400.0099999999984</v>
      </c>
      <c r="H116" s="430">
        <v>9415.75</v>
      </c>
      <c r="I116" s="430">
        <v>18452.939999999999</v>
      </c>
      <c r="J116" s="430">
        <v>37268.699999999997</v>
      </c>
      <c r="K116" s="430">
        <v>37269</v>
      </c>
      <c r="L116" s="430">
        <v>-0.30000000000291038</v>
      </c>
      <c r="M116" s="430">
        <v>9343.75</v>
      </c>
      <c r="N116" s="430">
        <v>9343.4499999999971</v>
      </c>
      <c r="O116" s="430">
        <v>6234.16</v>
      </c>
      <c r="P116" s="430">
        <v>3109.2899999999972</v>
      </c>
      <c r="Q116" s="430" t="e">
        <v>#REF!</v>
      </c>
      <c r="R116" s="430">
        <v>12556.539999999997</v>
      </c>
      <c r="S116" s="430">
        <v>3290.33</v>
      </c>
      <c r="T116" s="430">
        <v>9266.2099999999973</v>
      </c>
      <c r="U116" s="430">
        <v>9121</v>
      </c>
      <c r="V116" s="430">
        <v>18387.21</v>
      </c>
      <c r="W116" s="430">
        <v>0</v>
      </c>
      <c r="X116" s="430">
        <v>18387.21</v>
      </c>
      <c r="Y116" s="430">
        <v>9064.75</v>
      </c>
      <c r="Z116" s="430">
        <v>27451.96</v>
      </c>
      <c r="AB116" s="430"/>
    </row>
    <row r="117" spans="1:28" x14ac:dyDescent="0.25">
      <c r="A117" t="s">
        <v>964</v>
      </c>
      <c r="B117" t="s">
        <v>963</v>
      </c>
      <c r="C117" s="430">
        <v>12439.380000000001</v>
      </c>
      <c r="D117" s="430">
        <v>7606.75</v>
      </c>
      <c r="E117" s="430">
        <v>20046.13</v>
      </c>
      <c r="F117" s="430">
        <v>20045.86</v>
      </c>
      <c r="G117" s="430">
        <v>0.27000000000043656</v>
      </c>
      <c r="H117" s="430">
        <v>7474</v>
      </c>
      <c r="I117" s="430">
        <v>12912.48</v>
      </c>
      <c r="J117" s="430">
        <v>20386.75</v>
      </c>
      <c r="K117" s="430">
        <v>6038</v>
      </c>
      <c r="L117" s="430">
        <v>14348.75</v>
      </c>
      <c r="M117" s="430">
        <v>7505.5</v>
      </c>
      <c r="N117" s="430">
        <v>21854.25</v>
      </c>
      <c r="O117" s="430">
        <v>0</v>
      </c>
      <c r="P117" s="430">
        <v>0</v>
      </c>
      <c r="Q117" s="430">
        <v>0</v>
      </c>
      <c r="R117" s="430">
        <v>0</v>
      </c>
      <c r="S117" s="430">
        <v>0</v>
      </c>
      <c r="T117" s="430">
        <v>0</v>
      </c>
      <c r="U117" s="430"/>
      <c r="V117" s="430">
        <v>0</v>
      </c>
      <c r="W117" s="430">
        <v>0</v>
      </c>
      <c r="X117" s="430">
        <v>0</v>
      </c>
      <c r="Y117" s="430">
        <v>0</v>
      </c>
      <c r="Z117" s="430">
        <v>0</v>
      </c>
      <c r="AB117" s="430"/>
    </row>
    <row r="118" spans="1:28" x14ac:dyDescent="0.25">
      <c r="A118" t="s">
        <v>479</v>
      </c>
      <c r="B118" s="42" t="s">
        <v>962</v>
      </c>
      <c r="C118" s="430">
        <v>7960.2000000000007</v>
      </c>
      <c r="D118" s="430">
        <v>7993.75</v>
      </c>
      <c r="E118" s="430">
        <v>15953.95</v>
      </c>
      <c r="F118" s="430"/>
      <c r="G118" s="430">
        <v>15953.95</v>
      </c>
      <c r="H118" s="430">
        <v>8038.75</v>
      </c>
      <c r="I118" s="430">
        <v>14523.9</v>
      </c>
      <c r="J118" s="430">
        <v>38516.6</v>
      </c>
      <c r="K118" s="430">
        <v>0</v>
      </c>
      <c r="L118" s="430">
        <v>38516.6</v>
      </c>
      <c r="M118" s="430">
        <v>8038.75</v>
      </c>
      <c r="N118" s="430">
        <v>46555.35</v>
      </c>
      <c r="O118" s="430">
        <v>0</v>
      </c>
      <c r="P118" s="430">
        <v>68409.600000000006</v>
      </c>
      <c r="Q118" s="430" t="e">
        <v>#REF!</v>
      </c>
      <c r="R118" s="430">
        <v>79914.48000000001</v>
      </c>
      <c r="S118" s="430">
        <v>0</v>
      </c>
      <c r="T118" s="430">
        <v>79914.48000000001</v>
      </c>
      <c r="U118" s="430">
        <v>11406.55</v>
      </c>
      <c r="V118" s="430">
        <v>91321.030000000013</v>
      </c>
      <c r="W118" s="430">
        <v>0</v>
      </c>
      <c r="X118" s="430">
        <v>91321.030000000013</v>
      </c>
      <c r="Y118" s="430">
        <v>11359.75</v>
      </c>
      <c r="Z118" s="430">
        <v>102680.78000000001</v>
      </c>
      <c r="AB118" s="430"/>
    </row>
    <row r="119" spans="1:28" x14ac:dyDescent="0.25">
      <c r="A119" t="s">
        <v>481</v>
      </c>
      <c r="B119" t="s">
        <v>961</v>
      </c>
      <c r="C119" s="430">
        <v>1201.6000000000004</v>
      </c>
      <c r="D119" s="430">
        <v>6295</v>
      </c>
      <c r="E119" s="430">
        <v>7496.6</v>
      </c>
      <c r="F119" s="430">
        <v>4889.5</v>
      </c>
      <c r="G119" s="430">
        <v>2607.1000000000004</v>
      </c>
      <c r="H119" s="430">
        <v>6328.75</v>
      </c>
      <c r="I119" s="430">
        <v>9644.7000000000007</v>
      </c>
      <c r="J119" s="430">
        <v>18580.550000000003</v>
      </c>
      <c r="K119" s="430">
        <v>8296</v>
      </c>
      <c r="L119" s="430">
        <v>10284.550000000003</v>
      </c>
      <c r="M119" s="430">
        <v>6340</v>
      </c>
      <c r="N119" s="430">
        <v>16624.550000000003</v>
      </c>
      <c r="O119" s="430">
        <v>13970</v>
      </c>
      <c r="P119" s="430">
        <v>2654.5500000000029</v>
      </c>
      <c r="Q119" s="430" t="e">
        <v>#REF!</v>
      </c>
      <c r="R119" s="430">
        <v>8983.3000000000029</v>
      </c>
      <c r="S119" s="430">
        <v>0</v>
      </c>
      <c r="T119" s="430">
        <v>8983.3000000000029</v>
      </c>
      <c r="U119" s="430">
        <v>6362.5</v>
      </c>
      <c r="V119" s="430">
        <v>15345.800000000003</v>
      </c>
      <c r="W119" s="430">
        <v>7602.0400000000018</v>
      </c>
      <c r="X119" s="430">
        <v>7743.7600000000011</v>
      </c>
      <c r="Y119" s="430">
        <v>6289.38</v>
      </c>
      <c r="Z119" s="430">
        <v>14033.140000000001</v>
      </c>
      <c r="AB119" s="430"/>
    </row>
    <row r="120" spans="1:28" x14ac:dyDescent="0.25">
      <c r="A120" t="s">
        <v>483</v>
      </c>
      <c r="B120" t="s">
        <v>960</v>
      </c>
      <c r="C120" s="430">
        <v>0.27999999999883585</v>
      </c>
      <c r="D120" s="430">
        <v>8556.25</v>
      </c>
      <c r="E120" s="430">
        <v>8556.5299999999988</v>
      </c>
      <c r="F120" s="430">
        <v>1154</v>
      </c>
      <c r="G120" s="430">
        <v>7402.5299999999988</v>
      </c>
      <c r="H120" s="430">
        <v>8533.75</v>
      </c>
      <c r="I120" s="430">
        <v>15936.3</v>
      </c>
      <c r="J120" s="430">
        <v>31872.579999999998</v>
      </c>
      <c r="K120" s="430">
        <v>7397</v>
      </c>
      <c r="L120" s="430">
        <v>24475.579999999998</v>
      </c>
      <c r="M120" s="430">
        <v>8477.5</v>
      </c>
      <c r="N120" s="430">
        <v>32953.08</v>
      </c>
      <c r="O120" s="430">
        <v>32953.08</v>
      </c>
      <c r="P120" s="430">
        <v>0</v>
      </c>
      <c r="Q120" s="430" t="e">
        <v>#REF!</v>
      </c>
      <c r="R120" s="430">
        <v>8365</v>
      </c>
      <c r="S120" s="430">
        <v>0</v>
      </c>
      <c r="T120" s="430">
        <v>8365</v>
      </c>
      <c r="U120" s="430">
        <v>8488.75</v>
      </c>
      <c r="V120" s="430">
        <v>16853.75</v>
      </c>
      <c r="W120" s="430">
        <v>0</v>
      </c>
      <c r="X120" s="430">
        <v>16853.75</v>
      </c>
      <c r="Y120" s="430">
        <v>8376.25</v>
      </c>
      <c r="Z120" s="430">
        <v>25230</v>
      </c>
      <c r="AB120" s="430"/>
    </row>
    <row r="121" spans="1:28" x14ac:dyDescent="0.25">
      <c r="A121" t="s">
        <v>485</v>
      </c>
      <c r="B121" t="s">
        <v>959</v>
      </c>
      <c r="C121" s="430">
        <v>7368.51</v>
      </c>
      <c r="D121" s="430">
        <v>6362.5</v>
      </c>
      <c r="E121" s="430">
        <v>13731.01</v>
      </c>
      <c r="F121" s="430">
        <v>13731.01</v>
      </c>
      <c r="G121" s="430">
        <v>0</v>
      </c>
      <c r="H121" s="430">
        <v>6362.5</v>
      </c>
      <c r="I121" s="430">
        <v>9741</v>
      </c>
      <c r="J121" s="430">
        <v>16103.5</v>
      </c>
      <c r="K121" s="430">
        <v>4130</v>
      </c>
      <c r="L121" s="430">
        <v>11973.5</v>
      </c>
      <c r="M121" s="430">
        <v>6362.5</v>
      </c>
      <c r="N121" s="430">
        <v>18336</v>
      </c>
      <c r="O121" s="430">
        <v>12550.87</v>
      </c>
      <c r="P121" s="430">
        <v>5785.1299999999992</v>
      </c>
      <c r="Q121" s="430" t="e">
        <v>#REF!</v>
      </c>
      <c r="R121" s="430">
        <v>12170.13</v>
      </c>
      <c r="S121" s="430">
        <v>2458</v>
      </c>
      <c r="T121" s="430">
        <v>9712.1299999999992</v>
      </c>
      <c r="U121" s="430">
        <v>6340</v>
      </c>
      <c r="V121" s="430">
        <v>16052.13</v>
      </c>
      <c r="W121" s="430">
        <v>2800</v>
      </c>
      <c r="X121" s="430">
        <v>13252.13</v>
      </c>
      <c r="Y121" s="430">
        <v>6317.5</v>
      </c>
      <c r="Z121" s="430">
        <v>19569.629999999997</v>
      </c>
      <c r="AB121" s="430"/>
    </row>
    <row r="122" spans="1:28" x14ac:dyDescent="0.25">
      <c r="A122" t="s">
        <v>487</v>
      </c>
      <c r="B122" t="s">
        <v>958</v>
      </c>
      <c r="C122" s="430">
        <v>6505.2099999999991</v>
      </c>
      <c r="D122" s="430">
        <v>7600</v>
      </c>
      <c r="E122" s="430">
        <v>14105.21</v>
      </c>
      <c r="F122" s="430">
        <v>14105.18</v>
      </c>
      <c r="G122" s="430">
        <v>2.9999999998835847E-2</v>
      </c>
      <c r="H122" s="430">
        <v>7602.25</v>
      </c>
      <c r="I122" s="430">
        <v>13278.42</v>
      </c>
      <c r="J122" s="430">
        <v>20880.699999999997</v>
      </c>
      <c r="K122" s="430">
        <v>7984.36</v>
      </c>
      <c r="L122" s="430">
        <v>12896.339999999997</v>
      </c>
      <c r="M122" s="430">
        <v>7618</v>
      </c>
      <c r="N122" s="430">
        <v>20514.339999999997</v>
      </c>
      <c r="O122" s="430">
        <v>20347.560000000001</v>
      </c>
      <c r="P122" s="430">
        <v>166.7799999999952</v>
      </c>
      <c r="Q122" s="430" t="e">
        <v>#REF!</v>
      </c>
      <c r="R122" s="430">
        <v>7843.2799999999952</v>
      </c>
      <c r="S122" s="430">
        <v>7843</v>
      </c>
      <c r="T122" s="430">
        <v>0.27999999999519787</v>
      </c>
      <c r="U122" s="430">
        <v>7645</v>
      </c>
      <c r="V122" s="430">
        <v>7645.2799999999952</v>
      </c>
      <c r="W122" s="430">
        <v>0</v>
      </c>
      <c r="X122" s="430">
        <v>7645.2799999999952</v>
      </c>
      <c r="Y122" s="430">
        <v>7514.5</v>
      </c>
      <c r="Z122" s="430">
        <v>15159.779999999995</v>
      </c>
      <c r="AB122" s="430"/>
    </row>
    <row r="123" spans="1:28" x14ac:dyDescent="0.25">
      <c r="A123" t="s">
        <v>489</v>
      </c>
      <c r="B123" s="42" t="s">
        <v>957</v>
      </c>
      <c r="C123" s="430">
        <v>0</v>
      </c>
      <c r="D123" s="430">
        <v>7566.25</v>
      </c>
      <c r="E123" s="430">
        <v>7566.25</v>
      </c>
      <c r="F123" s="430"/>
      <c r="G123" s="430">
        <v>7566.25</v>
      </c>
      <c r="H123" s="430">
        <v>8095</v>
      </c>
      <c r="I123" s="430">
        <v>14684.4</v>
      </c>
      <c r="J123" s="430">
        <v>30345.65</v>
      </c>
      <c r="K123" s="430">
        <v>15661</v>
      </c>
      <c r="L123" s="430">
        <v>14684.650000000001</v>
      </c>
      <c r="M123" s="430">
        <v>8038.75</v>
      </c>
      <c r="N123" s="430">
        <v>22723.4</v>
      </c>
      <c r="O123" s="430">
        <v>22000</v>
      </c>
      <c r="P123" s="430">
        <v>723.40000000000146</v>
      </c>
      <c r="Q123" s="430" t="e">
        <v>#REF!</v>
      </c>
      <c r="R123" s="430">
        <v>8829.6500000000015</v>
      </c>
      <c r="S123" s="430">
        <v>0</v>
      </c>
      <c r="T123" s="430">
        <v>8829.6500000000015</v>
      </c>
      <c r="U123" s="430">
        <v>8050</v>
      </c>
      <c r="V123" s="430">
        <v>16879.650000000001</v>
      </c>
      <c r="W123" s="430">
        <v>0</v>
      </c>
      <c r="X123" s="430">
        <v>16879.650000000001</v>
      </c>
      <c r="Y123" s="430">
        <v>8050</v>
      </c>
      <c r="Z123" s="430">
        <v>24929.65</v>
      </c>
      <c r="AB123" s="430"/>
    </row>
    <row r="124" spans="1:28" x14ac:dyDescent="0.25">
      <c r="A124" t="s">
        <v>491</v>
      </c>
      <c r="B124" t="s">
        <v>956</v>
      </c>
      <c r="C124" s="430">
        <v>3671.5999999999985</v>
      </c>
      <c r="D124" s="430">
        <v>8713.75</v>
      </c>
      <c r="E124" s="430">
        <v>12385.349999999999</v>
      </c>
      <c r="F124" s="430">
        <v>9820</v>
      </c>
      <c r="G124" s="430">
        <v>2565.3499999999985</v>
      </c>
      <c r="H124" s="430">
        <v>8691.25</v>
      </c>
      <c r="I124" s="430">
        <v>16385.7</v>
      </c>
      <c r="J124" s="430">
        <v>27642.3</v>
      </c>
      <c r="K124" s="430">
        <v>0</v>
      </c>
      <c r="L124" s="430">
        <v>27642.3</v>
      </c>
      <c r="M124" s="430">
        <v>8770</v>
      </c>
      <c r="N124" s="430">
        <v>36412.300000000003</v>
      </c>
      <c r="O124" s="430">
        <v>0</v>
      </c>
      <c r="P124" s="430">
        <v>36412.300000000003</v>
      </c>
      <c r="Q124" s="430" t="e">
        <v>#REF!</v>
      </c>
      <c r="R124" s="430">
        <v>45148.55</v>
      </c>
      <c r="S124" s="430">
        <v>0</v>
      </c>
      <c r="T124" s="430">
        <v>45148.55</v>
      </c>
      <c r="U124" s="430">
        <v>8730.6200000000008</v>
      </c>
      <c r="V124" s="430">
        <v>53879.170000000006</v>
      </c>
      <c r="W124" s="430">
        <v>0</v>
      </c>
      <c r="X124" s="430">
        <v>53879.170000000006</v>
      </c>
      <c r="Y124" s="430">
        <v>8713.75</v>
      </c>
      <c r="Z124" s="430">
        <v>62592.920000000006</v>
      </c>
      <c r="AB124" s="430"/>
    </row>
    <row r="125" spans="1:28" x14ac:dyDescent="0.25">
      <c r="A125" t="s">
        <v>493</v>
      </c>
      <c r="B125" t="s">
        <v>955</v>
      </c>
      <c r="C125" s="430">
        <v>9.9999999998544808E-2</v>
      </c>
      <c r="D125" s="430">
        <v>12718.75</v>
      </c>
      <c r="E125" s="430">
        <v>12718.849999999999</v>
      </c>
      <c r="F125" s="430">
        <v>12718.85</v>
      </c>
      <c r="G125" s="430">
        <v>0</v>
      </c>
      <c r="H125" s="430">
        <v>13112.5</v>
      </c>
      <c r="I125" s="430">
        <v>29001</v>
      </c>
      <c r="J125" s="430">
        <v>42113.5</v>
      </c>
      <c r="K125" s="430">
        <v>13112.5</v>
      </c>
      <c r="L125" s="430">
        <v>29001</v>
      </c>
      <c r="M125" s="430">
        <v>13438.75</v>
      </c>
      <c r="N125" s="430">
        <v>42439.75</v>
      </c>
      <c r="O125" s="430">
        <v>2433.62</v>
      </c>
      <c r="P125" s="430">
        <v>40006.129999999997</v>
      </c>
      <c r="Q125" s="430" t="e">
        <v>#REF!</v>
      </c>
      <c r="R125" s="430">
        <v>53444.88</v>
      </c>
      <c r="S125" s="430">
        <v>53444.880000000005</v>
      </c>
      <c r="T125" s="430">
        <v>0</v>
      </c>
      <c r="U125" s="430">
        <v>13450</v>
      </c>
      <c r="V125" s="430">
        <v>13450</v>
      </c>
      <c r="W125" s="430">
        <v>-550.00000000000045</v>
      </c>
      <c r="X125" s="430">
        <v>14000</v>
      </c>
      <c r="Y125" s="430">
        <v>13360</v>
      </c>
      <c r="Z125" s="430">
        <v>27360</v>
      </c>
      <c r="AB125" s="430"/>
    </row>
    <row r="126" spans="1:28" x14ac:dyDescent="0.25">
      <c r="A126" t="s">
        <v>495</v>
      </c>
      <c r="B126" t="s">
        <v>954</v>
      </c>
      <c r="C126" s="430">
        <v>0.26000000000021828</v>
      </c>
      <c r="D126" s="430">
        <v>7422.25</v>
      </c>
      <c r="E126" s="430">
        <v>7422.51</v>
      </c>
      <c r="F126" s="430"/>
      <c r="G126" s="430">
        <v>7422.51</v>
      </c>
      <c r="H126" s="430">
        <v>7798</v>
      </c>
      <c r="I126" s="430">
        <v>13836.96</v>
      </c>
      <c r="J126" s="430">
        <v>29057.47</v>
      </c>
      <c r="K126" s="430">
        <v>15221</v>
      </c>
      <c r="L126" s="430">
        <v>13836.470000000001</v>
      </c>
      <c r="M126" s="430">
        <v>8277.25</v>
      </c>
      <c r="N126" s="430">
        <v>22113.72</v>
      </c>
      <c r="O126" s="430">
        <v>18147.27</v>
      </c>
      <c r="P126" s="430">
        <v>3966.4500000000007</v>
      </c>
      <c r="Q126" s="430" t="e">
        <v>#REF!</v>
      </c>
      <c r="R126" s="430">
        <v>12473.2</v>
      </c>
      <c r="S126" s="430">
        <v>6880</v>
      </c>
      <c r="T126" s="430">
        <v>5593.2000000000007</v>
      </c>
      <c r="U126" s="430">
        <v>8736.25</v>
      </c>
      <c r="V126" s="430">
        <v>14329.45</v>
      </c>
      <c r="W126" s="430">
        <v>12095</v>
      </c>
      <c r="X126" s="430">
        <v>2234.4500000000007</v>
      </c>
      <c r="Y126" s="430">
        <v>8650.75</v>
      </c>
      <c r="Z126" s="430">
        <v>10885.2</v>
      </c>
      <c r="AB126" s="430"/>
    </row>
    <row r="127" spans="1:28" x14ac:dyDescent="0.25">
      <c r="A127" t="s">
        <v>953</v>
      </c>
      <c r="B127" t="s">
        <v>952</v>
      </c>
      <c r="C127" s="430">
        <v>9626.0600000000013</v>
      </c>
      <c r="D127" s="430">
        <v>8882.5</v>
      </c>
      <c r="E127" s="430">
        <v>18508.560000000001</v>
      </c>
      <c r="F127" s="430">
        <v>5291.45</v>
      </c>
      <c r="G127" s="430">
        <v>13217.11</v>
      </c>
      <c r="H127" s="430">
        <v>8815</v>
      </c>
      <c r="I127" s="430">
        <v>16738.8</v>
      </c>
      <c r="J127" s="430">
        <v>38770.910000000003</v>
      </c>
      <c r="K127" s="430">
        <v>13388</v>
      </c>
      <c r="L127" s="430">
        <v>25382.910000000003</v>
      </c>
      <c r="M127" s="430">
        <v>9445</v>
      </c>
      <c r="N127" s="430">
        <v>34827.910000000003</v>
      </c>
      <c r="O127" s="430">
        <v>34827.910000000003</v>
      </c>
      <c r="P127" s="430">
        <v>0</v>
      </c>
      <c r="Q127" s="430"/>
      <c r="R127" s="430">
        <v>0</v>
      </c>
      <c r="S127" s="430">
        <v>0</v>
      </c>
      <c r="T127" s="430">
        <v>0</v>
      </c>
      <c r="U127" s="430"/>
      <c r="V127" s="430">
        <v>0</v>
      </c>
      <c r="W127" s="430">
        <v>0</v>
      </c>
      <c r="X127" s="430">
        <v>0</v>
      </c>
      <c r="Y127" s="430">
        <v>0</v>
      </c>
      <c r="Z127" s="430">
        <v>0</v>
      </c>
      <c r="AB127" s="430"/>
    </row>
    <row r="128" spans="1:28" ht="13.8" thickBot="1" x14ac:dyDescent="0.3">
      <c r="A128" t="s">
        <v>497</v>
      </c>
      <c r="B128" t="s">
        <v>951</v>
      </c>
      <c r="C128" s="430">
        <v>0.28000000000065484</v>
      </c>
      <c r="D128" s="430">
        <v>9073.75</v>
      </c>
      <c r="E128" s="430">
        <v>9074.0300000000007</v>
      </c>
      <c r="F128" s="430">
        <v>2546.9699999999998</v>
      </c>
      <c r="G128" s="430">
        <v>6527.0600000000013</v>
      </c>
      <c r="H128" s="430">
        <v>9044.5</v>
      </c>
      <c r="I128" s="430">
        <v>17393.64</v>
      </c>
      <c r="J128" s="430">
        <v>32965.199999999997</v>
      </c>
      <c r="K128" s="430">
        <v>15572</v>
      </c>
      <c r="L128" s="430">
        <v>17393.199999999997</v>
      </c>
      <c r="M128" s="430">
        <v>8961.25</v>
      </c>
      <c r="N128" s="430">
        <v>26354.449999999997</v>
      </c>
      <c r="O128" s="430">
        <v>25995.65</v>
      </c>
      <c r="P128" s="430">
        <v>358.79999999999563</v>
      </c>
      <c r="Q128" s="430" t="e">
        <v>#REF!</v>
      </c>
      <c r="R128" s="430">
        <v>9331.2999999999956</v>
      </c>
      <c r="S128" s="430">
        <v>0</v>
      </c>
      <c r="T128" s="430">
        <v>9331.2999999999956</v>
      </c>
      <c r="U128" s="430">
        <v>8853.25</v>
      </c>
      <c r="V128" s="430">
        <v>18184.549999999996</v>
      </c>
      <c r="W128" s="430">
        <v>17379</v>
      </c>
      <c r="X128" s="430">
        <v>805.54999999999563</v>
      </c>
      <c r="Y128" s="430">
        <v>8920.75</v>
      </c>
      <c r="Z128" s="430">
        <v>9726.2999999999956</v>
      </c>
      <c r="AB128" s="430"/>
    </row>
    <row r="129" spans="1:28" ht="15" thickBot="1" x14ac:dyDescent="0.35">
      <c r="A129" s="436"/>
      <c r="B129" s="437" t="s">
        <v>885</v>
      </c>
      <c r="C129" s="438">
        <v>1381824.7700000003</v>
      </c>
      <c r="D129" s="438">
        <v>1068928.25</v>
      </c>
      <c r="E129" s="438">
        <v>2450753.02</v>
      </c>
      <c r="F129" s="438">
        <v>1085555</v>
      </c>
      <c r="G129" s="438">
        <v>1365198.0200000005</v>
      </c>
      <c r="H129" s="438">
        <v>1074518.8799999999</v>
      </c>
      <c r="I129" s="438">
        <v>2022707.1899999997</v>
      </c>
      <c r="J129" s="438">
        <v>4462424.09</v>
      </c>
      <c r="K129" s="438">
        <v>1141679.6200000001</v>
      </c>
      <c r="L129" s="438">
        <v>3320744.4700000007</v>
      </c>
      <c r="M129" s="438">
        <v>1080718.0900000001</v>
      </c>
      <c r="N129" s="438">
        <v>4401462.5600000015</v>
      </c>
      <c r="O129" s="438">
        <v>1914541.6900000002</v>
      </c>
      <c r="P129" s="438">
        <v>2486920.8699999987</v>
      </c>
      <c r="Q129" s="438" t="e">
        <v>#REF!</v>
      </c>
      <c r="R129" s="438">
        <v>3504984.3499999987</v>
      </c>
      <c r="S129" s="438">
        <v>1519440.8600000003</v>
      </c>
      <c r="T129" s="438">
        <v>1985543.4899999984</v>
      </c>
      <c r="U129" s="438">
        <v>1003438.3200000001</v>
      </c>
      <c r="V129" s="438">
        <v>2988981.8099999982</v>
      </c>
      <c r="W129" s="438">
        <v>685342.44</v>
      </c>
      <c r="X129" s="438">
        <v>2303639.3699999992</v>
      </c>
      <c r="Y129" s="438">
        <v>986359.74</v>
      </c>
      <c r="Z129" s="438">
        <v>3289999.1099999989</v>
      </c>
      <c r="AB129" s="430"/>
    </row>
    <row r="130" spans="1:28" x14ac:dyDescent="0.25">
      <c r="A130" s="430" t="s">
        <v>100</v>
      </c>
      <c r="B130" s="430" t="s">
        <v>950</v>
      </c>
      <c r="C130" s="430">
        <v>0</v>
      </c>
      <c r="D130" s="430">
        <v>4724.5</v>
      </c>
      <c r="E130" s="430">
        <v>4724.5</v>
      </c>
      <c r="F130" s="430"/>
      <c r="G130" s="430">
        <v>4724.5</v>
      </c>
      <c r="H130" s="430">
        <v>4897.75</v>
      </c>
      <c r="I130" s="430">
        <v>5561.58</v>
      </c>
      <c r="J130" s="430">
        <v>15183.83</v>
      </c>
      <c r="K130" s="430">
        <v>3750</v>
      </c>
      <c r="L130" s="430">
        <v>11433.83</v>
      </c>
      <c r="M130" s="430">
        <v>4931.5</v>
      </c>
      <c r="N130" s="430">
        <v>16365.33</v>
      </c>
      <c r="O130" s="430">
        <v>7366</v>
      </c>
      <c r="P130" s="430">
        <v>8999.33</v>
      </c>
      <c r="Q130" s="430" t="e">
        <v>#REF!</v>
      </c>
      <c r="R130" s="430">
        <v>14025.33</v>
      </c>
      <c r="S130" s="430">
        <v>14024.380000000001</v>
      </c>
      <c r="T130" s="430">
        <v>0.94999999999890861</v>
      </c>
      <c r="U130" s="430">
        <v>5113.75</v>
      </c>
      <c r="V130" s="430">
        <v>5114.6999999999989</v>
      </c>
      <c r="W130" s="430">
        <v>0</v>
      </c>
      <c r="X130" s="430">
        <v>5114.6999999999989</v>
      </c>
      <c r="Y130" s="430">
        <v>4864</v>
      </c>
      <c r="Z130" s="430">
        <v>9978.6999999999989</v>
      </c>
      <c r="AB130" s="430"/>
    </row>
    <row r="131" spans="1:28" x14ac:dyDescent="0.25">
      <c r="A131" s="430" t="s">
        <v>105</v>
      </c>
      <c r="B131" s="430" t="s">
        <v>949</v>
      </c>
      <c r="C131" s="430">
        <v>22851</v>
      </c>
      <c r="D131" s="430">
        <v>4832.95</v>
      </c>
      <c r="E131" s="430">
        <v>27683.95</v>
      </c>
      <c r="F131" s="430"/>
      <c r="G131" s="430">
        <v>27683.95</v>
      </c>
      <c r="H131" s="430">
        <v>5228.28</v>
      </c>
      <c r="I131" s="430">
        <v>6504.68</v>
      </c>
      <c r="J131" s="430">
        <v>39416.910000000003</v>
      </c>
      <c r="K131" s="430">
        <v>25612</v>
      </c>
      <c r="L131" s="430">
        <v>13804.910000000003</v>
      </c>
      <c r="M131" s="430">
        <v>5547.1</v>
      </c>
      <c r="N131" s="430">
        <v>19352.010000000002</v>
      </c>
      <c r="O131" s="430">
        <v>10340</v>
      </c>
      <c r="P131" s="430">
        <v>9012.010000000002</v>
      </c>
      <c r="Q131" s="430" t="e">
        <v>#REF!</v>
      </c>
      <c r="R131" s="430">
        <v>14488.460000000003</v>
      </c>
      <c r="S131" s="430">
        <v>0</v>
      </c>
      <c r="T131" s="430">
        <v>14488.460000000003</v>
      </c>
      <c r="U131" s="430">
        <v>5574.1</v>
      </c>
      <c r="V131" s="430">
        <v>20062.560000000005</v>
      </c>
      <c r="W131" s="430">
        <v>0</v>
      </c>
      <c r="X131" s="430">
        <v>20062.560000000005</v>
      </c>
      <c r="Y131" s="430">
        <v>5316.25</v>
      </c>
      <c r="Z131" s="430">
        <v>25378.810000000005</v>
      </c>
      <c r="AB131" s="430"/>
    </row>
    <row r="132" spans="1:28" x14ac:dyDescent="0.25">
      <c r="A132" s="430" t="s">
        <v>110</v>
      </c>
      <c r="B132" s="430" t="s">
        <v>948</v>
      </c>
      <c r="C132" s="430">
        <v>0.2000000000007276</v>
      </c>
      <c r="D132" s="430">
        <v>4522</v>
      </c>
      <c r="E132" s="430">
        <v>4522.2000000000007</v>
      </c>
      <c r="F132" s="430">
        <v>450</v>
      </c>
      <c r="G132" s="430">
        <v>4072.2000000000007</v>
      </c>
      <c r="H132" s="430">
        <v>4567</v>
      </c>
      <c r="I132" s="430">
        <v>4617.84</v>
      </c>
      <c r="J132" s="430">
        <v>13257.04</v>
      </c>
      <c r="K132" s="430">
        <v>3750</v>
      </c>
      <c r="L132" s="430">
        <v>9507.0400000000009</v>
      </c>
      <c r="M132" s="430">
        <v>5136.7</v>
      </c>
      <c r="N132" s="430">
        <v>14643.740000000002</v>
      </c>
      <c r="O132" s="430">
        <v>5621.91</v>
      </c>
      <c r="P132" s="430">
        <v>9021.8300000000017</v>
      </c>
      <c r="Q132" s="430" t="e">
        <v>#REF!</v>
      </c>
      <c r="R132" s="430">
        <v>14189.580000000002</v>
      </c>
      <c r="S132" s="430">
        <v>14159</v>
      </c>
      <c r="T132" s="430">
        <v>30.580000000001746</v>
      </c>
      <c r="U132" s="430">
        <v>5029.38</v>
      </c>
      <c r="V132" s="430">
        <v>5059.9600000000019</v>
      </c>
      <c r="W132" s="430">
        <v>0</v>
      </c>
      <c r="X132" s="430">
        <v>5059.9600000000019</v>
      </c>
      <c r="Y132" s="430">
        <v>4874.12</v>
      </c>
      <c r="Z132" s="430">
        <v>9934.0800000000017</v>
      </c>
      <c r="AB132" s="430"/>
    </row>
    <row r="133" spans="1:28" x14ac:dyDescent="0.25">
      <c r="A133" s="430" t="s">
        <v>112</v>
      </c>
      <c r="B133" s="430" t="s">
        <v>947</v>
      </c>
      <c r="C133" s="430">
        <v>27440.880000000001</v>
      </c>
      <c r="D133" s="430">
        <v>4722.25</v>
      </c>
      <c r="E133" s="430">
        <v>32163.13</v>
      </c>
      <c r="F133" s="430">
        <v>15120</v>
      </c>
      <c r="G133" s="430">
        <v>17043.13</v>
      </c>
      <c r="H133" s="430">
        <v>4749.25</v>
      </c>
      <c r="I133" s="430">
        <v>5137.8599999999997</v>
      </c>
      <c r="J133" s="430">
        <v>26930.240000000002</v>
      </c>
      <c r="K133" s="430">
        <v>5034.5200000000004</v>
      </c>
      <c r="L133" s="430">
        <v>21895.72</v>
      </c>
      <c r="M133" s="430">
        <v>4749.25</v>
      </c>
      <c r="N133" s="430">
        <v>26644.97</v>
      </c>
      <c r="O133" s="430">
        <v>14372.49</v>
      </c>
      <c r="P133" s="430">
        <v>12272.480000000001</v>
      </c>
      <c r="Q133" s="430" t="e">
        <v>#REF!</v>
      </c>
      <c r="R133" s="430">
        <v>17035.230000000003</v>
      </c>
      <c r="S133" s="430">
        <v>0</v>
      </c>
      <c r="T133" s="430">
        <v>17035.230000000003</v>
      </c>
      <c r="U133" s="430">
        <v>4769.5</v>
      </c>
      <c r="V133" s="430">
        <v>21804.730000000003</v>
      </c>
      <c r="W133" s="430">
        <v>0</v>
      </c>
      <c r="X133" s="430">
        <v>21804.730000000003</v>
      </c>
      <c r="Y133" s="430">
        <v>4472.5</v>
      </c>
      <c r="Z133" s="430">
        <v>26277.230000000003</v>
      </c>
      <c r="AB133" s="430"/>
    </row>
    <row r="134" spans="1:28" x14ac:dyDescent="0.25">
      <c r="A134" s="430" t="s">
        <v>114</v>
      </c>
      <c r="B134" s="430" t="s">
        <v>946</v>
      </c>
      <c r="C134" s="430">
        <v>1317.0599999999995</v>
      </c>
      <c r="D134" s="430">
        <v>4830.25</v>
      </c>
      <c r="E134" s="430">
        <v>6147.3099999999995</v>
      </c>
      <c r="F134" s="430">
        <v>1118</v>
      </c>
      <c r="G134" s="430">
        <v>5029.3099999999995</v>
      </c>
      <c r="H134" s="430">
        <v>4645.75</v>
      </c>
      <c r="I134" s="430">
        <v>4842.54</v>
      </c>
      <c r="J134" s="430">
        <v>14517.599999999999</v>
      </c>
      <c r="K134" s="430">
        <v>900</v>
      </c>
      <c r="L134" s="430">
        <v>13617.599999999999</v>
      </c>
      <c r="M134" s="430">
        <v>5221.75</v>
      </c>
      <c r="N134" s="430">
        <v>18839.349999999999</v>
      </c>
      <c r="O134" s="430">
        <v>0</v>
      </c>
      <c r="P134" s="430">
        <v>18839.349999999999</v>
      </c>
      <c r="Q134" s="430" t="e">
        <v>#REF!</v>
      </c>
      <c r="R134" s="430">
        <v>24135.35</v>
      </c>
      <c r="S134" s="430">
        <v>2618.5</v>
      </c>
      <c r="T134" s="430">
        <v>21516.85</v>
      </c>
      <c r="U134" s="430">
        <v>5086.75</v>
      </c>
      <c r="V134" s="430">
        <v>26603.599999999999</v>
      </c>
      <c r="W134" s="430">
        <v>7890</v>
      </c>
      <c r="X134" s="430">
        <v>18713.599999999999</v>
      </c>
      <c r="Y134" s="430">
        <v>4965.25</v>
      </c>
      <c r="Z134" s="430">
        <v>23678.85</v>
      </c>
      <c r="AB134" s="430"/>
    </row>
    <row r="135" spans="1:28" x14ac:dyDescent="0.25">
      <c r="A135" s="430" t="s">
        <v>116</v>
      </c>
      <c r="B135" s="430" t="s">
        <v>945</v>
      </c>
      <c r="C135" s="430">
        <v>4628.1000000000004</v>
      </c>
      <c r="D135" s="430">
        <v>4837</v>
      </c>
      <c r="E135" s="430">
        <v>9465.1</v>
      </c>
      <c r="F135" s="430"/>
      <c r="G135" s="430">
        <v>9465.1</v>
      </c>
      <c r="H135" s="430">
        <v>4852.75</v>
      </c>
      <c r="I135" s="430">
        <v>5433.18</v>
      </c>
      <c r="J135" s="430">
        <v>19751.03</v>
      </c>
      <c r="K135" s="430">
        <v>0</v>
      </c>
      <c r="L135" s="430">
        <v>19751.03</v>
      </c>
      <c r="M135" s="430">
        <v>4904.5</v>
      </c>
      <c r="N135" s="430">
        <v>24655.53</v>
      </c>
      <c r="O135" s="430">
        <v>0</v>
      </c>
      <c r="P135" s="430">
        <v>24655.53</v>
      </c>
      <c r="Q135" s="430" t="e">
        <v>#REF!</v>
      </c>
      <c r="R135" s="430">
        <v>29636.53</v>
      </c>
      <c r="S135" s="430">
        <v>3755.49</v>
      </c>
      <c r="T135" s="430">
        <v>25881.040000000001</v>
      </c>
      <c r="U135" s="430">
        <v>5235.25</v>
      </c>
      <c r="V135" s="430">
        <v>31116.29</v>
      </c>
      <c r="W135" s="430">
        <v>5.1159076974727213E-13</v>
      </c>
      <c r="X135" s="430">
        <v>31116.29</v>
      </c>
      <c r="Y135" s="430">
        <v>5167.75</v>
      </c>
      <c r="Z135" s="430">
        <v>36284.04</v>
      </c>
      <c r="AB135" s="430"/>
    </row>
    <row r="136" spans="1:28" x14ac:dyDescent="0.25">
      <c r="A136" s="430" t="s">
        <v>158</v>
      </c>
      <c r="B136" s="430" t="s">
        <v>944</v>
      </c>
      <c r="C136" s="430">
        <v>3621.26</v>
      </c>
      <c r="D136" s="430">
        <v>4382.5</v>
      </c>
      <c r="E136" s="430">
        <v>8003.76</v>
      </c>
      <c r="F136" s="430">
        <v>3480</v>
      </c>
      <c r="G136" s="430">
        <v>4523.76</v>
      </c>
      <c r="H136" s="430">
        <v>4472.5</v>
      </c>
      <c r="I136" s="430">
        <v>4472.5</v>
      </c>
      <c r="J136" s="430">
        <v>13468.76</v>
      </c>
      <c r="K136" s="430">
        <v>459.48</v>
      </c>
      <c r="L136" s="430">
        <v>13009.28</v>
      </c>
      <c r="M136" s="430">
        <v>4553.5</v>
      </c>
      <c r="N136" s="430">
        <v>17562.78</v>
      </c>
      <c r="O136" s="433">
        <v>4498.3</v>
      </c>
      <c r="P136" s="430">
        <v>13064.48</v>
      </c>
      <c r="Q136" s="430" t="e">
        <v>#REF!</v>
      </c>
      <c r="R136" s="430">
        <v>17703.03</v>
      </c>
      <c r="S136" s="430">
        <v>9641.4399999999987</v>
      </c>
      <c r="T136" s="430">
        <v>8061.59</v>
      </c>
      <c r="U136" s="430">
        <v>4652.05</v>
      </c>
      <c r="V136" s="430">
        <v>12713.64</v>
      </c>
      <c r="W136" s="430">
        <v>3501.2000000000007</v>
      </c>
      <c r="X136" s="430">
        <v>9212.4399999999987</v>
      </c>
      <c r="Y136" s="430">
        <v>4560.25</v>
      </c>
      <c r="Z136" s="430">
        <v>13772.689999999999</v>
      </c>
      <c r="AB136" s="430"/>
    </row>
    <row r="137" spans="1:28" x14ac:dyDescent="0.25">
      <c r="A137" s="430" t="s">
        <v>118</v>
      </c>
      <c r="B137" s="430" t="s">
        <v>943</v>
      </c>
      <c r="C137" s="430">
        <v>20833.129999999997</v>
      </c>
      <c r="D137" s="430">
        <v>4760.5</v>
      </c>
      <c r="E137" s="430">
        <v>25593.629999999997</v>
      </c>
      <c r="F137" s="430">
        <v>22201.39</v>
      </c>
      <c r="G137" s="430">
        <v>3392.239999999998</v>
      </c>
      <c r="H137" s="430">
        <v>4762.75</v>
      </c>
      <c r="I137" s="430">
        <v>5176.38</v>
      </c>
      <c r="J137" s="430">
        <v>13331.369999999999</v>
      </c>
      <c r="K137" s="430">
        <v>2245</v>
      </c>
      <c r="L137" s="430">
        <v>11086.369999999999</v>
      </c>
      <c r="M137" s="430">
        <v>5026</v>
      </c>
      <c r="N137" s="430">
        <v>16112.369999999999</v>
      </c>
      <c r="O137" s="430">
        <v>0</v>
      </c>
      <c r="P137" s="430">
        <v>16112.369999999999</v>
      </c>
      <c r="Q137" s="430" t="e">
        <v>#REF!</v>
      </c>
      <c r="R137" s="430">
        <v>21064.12</v>
      </c>
      <c r="S137" s="430">
        <v>7588</v>
      </c>
      <c r="T137" s="430">
        <v>13476.119999999999</v>
      </c>
      <c r="U137" s="430">
        <v>4776.25</v>
      </c>
      <c r="V137" s="430">
        <v>18252.37</v>
      </c>
      <c r="W137" s="430">
        <v>3950.92</v>
      </c>
      <c r="X137" s="430">
        <v>14301.449999999999</v>
      </c>
      <c r="Y137" s="430">
        <v>4567</v>
      </c>
      <c r="Z137" s="430">
        <v>18868.449999999997</v>
      </c>
      <c r="AB137" s="430"/>
    </row>
    <row r="138" spans="1:28" x14ac:dyDescent="0.25">
      <c r="A138" s="430" t="s">
        <v>120</v>
      </c>
      <c r="B138" s="430" t="s">
        <v>942</v>
      </c>
      <c r="C138" s="430">
        <v>10206.959999999999</v>
      </c>
      <c r="D138" s="430">
        <v>4657</v>
      </c>
      <c r="E138" s="430">
        <v>14863.96</v>
      </c>
      <c r="F138" s="430">
        <v>3571.14</v>
      </c>
      <c r="G138" s="430">
        <v>11292.82</v>
      </c>
      <c r="H138" s="430">
        <v>4627.75</v>
      </c>
      <c r="I138" s="430">
        <v>4791.18</v>
      </c>
      <c r="J138" s="430">
        <v>20711.75</v>
      </c>
      <c r="K138" s="430">
        <v>5298.29</v>
      </c>
      <c r="L138" s="430">
        <v>15413.46</v>
      </c>
      <c r="M138" s="430">
        <v>4738</v>
      </c>
      <c r="N138" s="430">
        <v>20151.46</v>
      </c>
      <c r="O138" s="430">
        <v>10790</v>
      </c>
      <c r="P138" s="430">
        <v>9361.4599999999991</v>
      </c>
      <c r="Q138" s="430" t="e">
        <v>#REF!</v>
      </c>
      <c r="R138" s="430">
        <v>14099.46</v>
      </c>
      <c r="S138" s="430">
        <v>1600</v>
      </c>
      <c r="T138" s="430">
        <v>12499.46</v>
      </c>
      <c r="U138" s="430">
        <v>4735.75</v>
      </c>
      <c r="V138" s="430">
        <v>17235.21</v>
      </c>
      <c r="W138" s="430">
        <v>7443.16</v>
      </c>
      <c r="X138" s="430">
        <v>9792.0499999999993</v>
      </c>
      <c r="Y138" s="430">
        <v>4735.75</v>
      </c>
      <c r="Z138" s="430">
        <v>14527.8</v>
      </c>
      <c r="AB138" s="430"/>
    </row>
    <row r="139" spans="1:28" x14ac:dyDescent="0.25">
      <c r="A139" s="430" t="s">
        <v>122</v>
      </c>
      <c r="B139" s="430" t="s">
        <v>941</v>
      </c>
      <c r="C139" s="430">
        <v>9766.84</v>
      </c>
      <c r="D139" s="430">
        <v>4679.5</v>
      </c>
      <c r="E139" s="430">
        <v>14446.34</v>
      </c>
      <c r="F139" s="430">
        <v>9825.07</v>
      </c>
      <c r="G139" s="430">
        <v>4621.2700000000004</v>
      </c>
      <c r="H139" s="430">
        <v>4645.75</v>
      </c>
      <c r="I139" s="430">
        <v>4842.54</v>
      </c>
      <c r="J139" s="430">
        <v>14109.560000000001</v>
      </c>
      <c r="K139" s="430">
        <v>8768.25</v>
      </c>
      <c r="L139" s="430">
        <v>5341.3100000000013</v>
      </c>
      <c r="M139" s="430">
        <v>4817.29</v>
      </c>
      <c r="N139" s="430">
        <v>10158.600000000002</v>
      </c>
      <c r="O139" s="430">
        <v>7727</v>
      </c>
      <c r="P139" s="430">
        <v>2431.6000000000022</v>
      </c>
      <c r="Q139" s="430" t="e">
        <v>#REF!</v>
      </c>
      <c r="R139" s="430">
        <v>7255.1000000000022</v>
      </c>
      <c r="S139" s="430">
        <v>4693</v>
      </c>
      <c r="T139" s="430">
        <v>2562.1000000000022</v>
      </c>
      <c r="U139" s="430">
        <v>4878.3999999999996</v>
      </c>
      <c r="V139" s="430">
        <v>7440.5000000000018</v>
      </c>
      <c r="W139" s="430">
        <v>1540</v>
      </c>
      <c r="X139" s="430">
        <v>5900.5000000000018</v>
      </c>
      <c r="Y139" s="430">
        <v>4837</v>
      </c>
      <c r="Z139" s="430">
        <v>10737.500000000002</v>
      </c>
      <c r="AB139" s="430"/>
    </row>
    <row r="140" spans="1:28" x14ac:dyDescent="0.25">
      <c r="A140" s="430" t="s">
        <v>124</v>
      </c>
      <c r="B140" s="430" t="s">
        <v>940</v>
      </c>
      <c r="C140" s="430">
        <v>6142.0500000000011</v>
      </c>
      <c r="D140" s="430">
        <v>4418.5</v>
      </c>
      <c r="E140" s="430">
        <v>10560.550000000001</v>
      </c>
      <c r="F140" s="430">
        <v>3277.31</v>
      </c>
      <c r="G140" s="430">
        <v>7283.2400000000016</v>
      </c>
      <c r="H140" s="430">
        <v>4405</v>
      </c>
      <c r="I140" s="430">
        <v>4405</v>
      </c>
      <c r="J140" s="430">
        <v>16093.240000000002</v>
      </c>
      <c r="K140" s="430">
        <v>1701</v>
      </c>
      <c r="L140" s="430">
        <v>14392.240000000002</v>
      </c>
      <c r="M140" s="430">
        <v>4452.25</v>
      </c>
      <c r="N140" s="430">
        <v>18844.490000000002</v>
      </c>
      <c r="O140" s="430">
        <v>4517</v>
      </c>
      <c r="P140" s="430">
        <v>14327.490000000002</v>
      </c>
      <c r="Q140" s="430" t="e">
        <v>#REF!</v>
      </c>
      <c r="R140" s="430">
        <v>19015.990000000002</v>
      </c>
      <c r="S140" s="430">
        <v>5613.65</v>
      </c>
      <c r="T140" s="430">
        <v>13402.340000000002</v>
      </c>
      <c r="U140" s="430">
        <v>4762.75</v>
      </c>
      <c r="V140" s="430">
        <v>18165.090000000004</v>
      </c>
      <c r="W140" s="430">
        <v>0</v>
      </c>
      <c r="X140" s="430">
        <v>18165.090000000004</v>
      </c>
      <c r="Y140" s="430">
        <v>4675</v>
      </c>
      <c r="Z140" s="430">
        <v>22840.090000000004</v>
      </c>
      <c r="AB140" s="430"/>
    </row>
    <row r="141" spans="1:28" x14ac:dyDescent="0.25">
      <c r="A141" s="430" t="s">
        <v>126</v>
      </c>
      <c r="B141" s="430" t="s">
        <v>939</v>
      </c>
      <c r="C141" s="430">
        <v>5067.4699999999993</v>
      </c>
      <c r="D141" s="430">
        <v>5080</v>
      </c>
      <c r="E141" s="430">
        <v>10147.469999999999</v>
      </c>
      <c r="F141" s="430">
        <v>6518.99</v>
      </c>
      <c r="G141" s="430">
        <v>3628.4799999999996</v>
      </c>
      <c r="H141" s="430">
        <v>5174.5</v>
      </c>
      <c r="I141" s="430">
        <v>6351.24</v>
      </c>
      <c r="J141" s="430">
        <v>15154.22</v>
      </c>
      <c r="K141" s="430"/>
      <c r="L141" s="430">
        <v>15154.22</v>
      </c>
      <c r="M141" s="430">
        <v>5107</v>
      </c>
      <c r="N141" s="430">
        <v>20261.22</v>
      </c>
      <c r="O141" s="430">
        <v>4968.25</v>
      </c>
      <c r="P141" s="430">
        <v>15292.970000000001</v>
      </c>
      <c r="Q141" s="430" t="e">
        <v>#REF!</v>
      </c>
      <c r="R141" s="430">
        <v>20561.97</v>
      </c>
      <c r="S141" s="430">
        <v>0</v>
      </c>
      <c r="T141" s="430">
        <v>20561.97</v>
      </c>
      <c r="U141" s="430">
        <v>5262.25</v>
      </c>
      <c r="V141" s="430">
        <v>25824.22</v>
      </c>
      <c r="W141" s="430">
        <v>2132.4</v>
      </c>
      <c r="X141" s="430">
        <v>23691.82</v>
      </c>
      <c r="Y141" s="430">
        <v>5120.5</v>
      </c>
      <c r="Z141" s="430">
        <v>28812.32</v>
      </c>
      <c r="AB141" s="430"/>
    </row>
    <row r="142" spans="1:28" x14ac:dyDescent="0.25">
      <c r="A142" s="430" t="s">
        <v>128</v>
      </c>
      <c r="B142" s="430" t="s">
        <v>938</v>
      </c>
      <c r="C142" s="430">
        <v>0</v>
      </c>
      <c r="D142" s="430">
        <v>4492.75</v>
      </c>
      <c r="E142" s="430">
        <v>4492.75</v>
      </c>
      <c r="F142" s="430">
        <v>135.9</v>
      </c>
      <c r="G142" s="430">
        <v>4356.8500000000004</v>
      </c>
      <c r="H142" s="430">
        <v>4544.5</v>
      </c>
      <c r="I142" s="430">
        <v>4553.6400000000003</v>
      </c>
      <c r="J142" s="430">
        <v>13454.990000000002</v>
      </c>
      <c r="K142" s="430">
        <v>7382.4</v>
      </c>
      <c r="L142" s="430">
        <v>6072.590000000002</v>
      </c>
      <c r="M142" s="430">
        <v>4432</v>
      </c>
      <c r="N142" s="430">
        <v>10504.590000000002</v>
      </c>
      <c r="O142" s="430">
        <v>4359.2299999999996</v>
      </c>
      <c r="P142" s="430">
        <v>6145.3600000000024</v>
      </c>
      <c r="Q142" s="430" t="e">
        <v>#REF!</v>
      </c>
      <c r="R142" s="430">
        <v>10617.860000000002</v>
      </c>
      <c r="S142" s="430">
        <v>9714.7999999999993</v>
      </c>
      <c r="T142" s="430">
        <v>903.06000000000313</v>
      </c>
      <c r="U142" s="430">
        <v>4526.5</v>
      </c>
      <c r="V142" s="430">
        <v>5429.5600000000031</v>
      </c>
      <c r="W142" s="430">
        <v>0</v>
      </c>
      <c r="X142" s="430">
        <v>5429.5600000000031</v>
      </c>
      <c r="Y142" s="430">
        <v>4324</v>
      </c>
      <c r="Z142" s="430">
        <v>9753.5600000000031</v>
      </c>
      <c r="AB142" s="430"/>
    </row>
    <row r="143" spans="1:28" x14ac:dyDescent="0.25">
      <c r="A143" s="430" t="s">
        <v>130</v>
      </c>
      <c r="B143" s="430" t="s">
        <v>937</v>
      </c>
      <c r="C143" s="430">
        <v>5761</v>
      </c>
      <c r="D143" s="430">
        <v>4533.25</v>
      </c>
      <c r="E143" s="430">
        <v>10294.25</v>
      </c>
      <c r="F143" s="430">
        <v>10095</v>
      </c>
      <c r="G143" s="430">
        <v>199.25</v>
      </c>
      <c r="H143" s="430">
        <v>4805.95</v>
      </c>
      <c r="I143" s="430">
        <v>5299.64</v>
      </c>
      <c r="J143" s="430">
        <v>10304.84</v>
      </c>
      <c r="K143" s="430">
        <v>2333.33</v>
      </c>
      <c r="L143" s="430">
        <v>7971.51</v>
      </c>
      <c r="M143" s="430">
        <v>4769.5</v>
      </c>
      <c r="N143" s="430">
        <v>12741.01</v>
      </c>
      <c r="O143" s="430">
        <v>6582.09</v>
      </c>
      <c r="P143" s="430">
        <v>6158.92</v>
      </c>
      <c r="Q143" s="430" t="e">
        <v>#REF!</v>
      </c>
      <c r="R143" s="430">
        <v>10837.970000000001</v>
      </c>
      <c r="S143" s="430">
        <v>7106</v>
      </c>
      <c r="T143" s="430">
        <v>3731.9700000000012</v>
      </c>
      <c r="U143" s="430">
        <v>4783</v>
      </c>
      <c r="V143" s="430">
        <v>8514.9700000000012</v>
      </c>
      <c r="W143" s="430">
        <v>2689.45</v>
      </c>
      <c r="X143" s="430">
        <v>5825.5200000000013</v>
      </c>
      <c r="Y143" s="430">
        <v>4550.6899999999996</v>
      </c>
      <c r="Z143" s="430">
        <v>10376.210000000001</v>
      </c>
      <c r="AB143" s="430"/>
    </row>
    <row r="144" spans="1:28" x14ac:dyDescent="0.25">
      <c r="A144" s="430" t="s">
        <v>132</v>
      </c>
      <c r="B144" s="430" t="s">
        <v>936</v>
      </c>
      <c r="C144" s="430">
        <v>3752.72</v>
      </c>
      <c r="D144" s="430">
        <v>4695.25</v>
      </c>
      <c r="E144" s="430">
        <v>8447.9699999999993</v>
      </c>
      <c r="F144" s="430">
        <v>7776.63</v>
      </c>
      <c r="G144" s="430">
        <v>671.33999999999924</v>
      </c>
      <c r="H144" s="430">
        <v>4675</v>
      </c>
      <c r="I144" s="430">
        <v>4926</v>
      </c>
      <c r="J144" s="430">
        <v>10272.34</v>
      </c>
      <c r="K144" s="430">
        <v>4557</v>
      </c>
      <c r="L144" s="430">
        <v>5715.34</v>
      </c>
      <c r="M144" s="430">
        <v>4814.95</v>
      </c>
      <c r="N144" s="430">
        <v>10530.29</v>
      </c>
      <c r="O144" s="430">
        <v>4859.99</v>
      </c>
      <c r="P144" s="430">
        <v>5670.3000000000011</v>
      </c>
      <c r="Q144" s="430" t="e">
        <v>#REF!</v>
      </c>
      <c r="R144" s="430">
        <v>10479.850000000002</v>
      </c>
      <c r="S144" s="430">
        <v>10479.85</v>
      </c>
      <c r="T144" s="430">
        <v>0</v>
      </c>
      <c r="U144" s="430">
        <v>4856.8</v>
      </c>
      <c r="V144" s="430">
        <v>4856.8</v>
      </c>
      <c r="W144" s="430">
        <v>2385.2399999999998</v>
      </c>
      <c r="X144" s="430">
        <v>2471.5600000000004</v>
      </c>
      <c r="Y144" s="430">
        <v>4809.32</v>
      </c>
      <c r="Z144" s="430">
        <v>7280.88</v>
      </c>
      <c r="AB144" s="430"/>
    </row>
    <row r="145" spans="1:28" x14ac:dyDescent="0.25">
      <c r="A145" s="430" t="s">
        <v>134</v>
      </c>
      <c r="B145" s="430" t="s">
        <v>935</v>
      </c>
      <c r="C145" s="430">
        <v>5486.0000000000018</v>
      </c>
      <c r="D145" s="430">
        <v>4877.5</v>
      </c>
      <c r="E145" s="430">
        <v>10363.500000000002</v>
      </c>
      <c r="F145" s="430">
        <v>8454.56</v>
      </c>
      <c r="G145" s="430">
        <v>1908.9400000000023</v>
      </c>
      <c r="H145" s="430">
        <v>4796.5</v>
      </c>
      <c r="I145" s="430">
        <v>5272.68</v>
      </c>
      <c r="J145" s="430">
        <v>11978.120000000003</v>
      </c>
      <c r="K145" s="430">
        <v>0</v>
      </c>
      <c r="L145" s="430">
        <v>11978.120000000003</v>
      </c>
      <c r="M145" s="430">
        <v>4978.75</v>
      </c>
      <c r="N145" s="430">
        <v>16956.870000000003</v>
      </c>
      <c r="O145" s="430">
        <v>4100</v>
      </c>
      <c r="P145" s="430">
        <v>12856.870000000003</v>
      </c>
      <c r="Q145" s="430" t="e">
        <v>#REF!</v>
      </c>
      <c r="R145" s="430">
        <v>17945.870000000003</v>
      </c>
      <c r="S145" s="430">
        <v>2850</v>
      </c>
      <c r="T145" s="430">
        <v>15095.870000000003</v>
      </c>
      <c r="U145" s="430">
        <v>4884.25</v>
      </c>
      <c r="V145" s="430">
        <v>19980.120000000003</v>
      </c>
      <c r="W145" s="430">
        <v>1759</v>
      </c>
      <c r="X145" s="430">
        <v>18221.120000000003</v>
      </c>
      <c r="Y145" s="430">
        <v>4729</v>
      </c>
      <c r="Z145" s="430">
        <v>22950.120000000003</v>
      </c>
      <c r="AB145" s="430"/>
    </row>
    <row r="146" spans="1:28" x14ac:dyDescent="0.25">
      <c r="A146" s="430" t="s">
        <v>136</v>
      </c>
      <c r="B146" s="430" t="s">
        <v>934</v>
      </c>
      <c r="C146" s="430">
        <v>2082.6100000000006</v>
      </c>
      <c r="D146" s="430">
        <v>4884.25</v>
      </c>
      <c r="E146" s="430">
        <v>6966.8600000000006</v>
      </c>
      <c r="F146" s="430">
        <v>2162</v>
      </c>
      <c r="G146" s="430">
        <v>4804.8600000000006</v>
      </c>
      <c r="H146" s="430">
        <v>4918</v>
      </c>
      <c r="I146" s="430">
        <v>5619.36</v>
      </c>
      <c r="J146" s="430">
        <v>15342.220000000001</v>
      </c>
      <c r="K146" s="430">
        <v>8582.2199999999993</v>
      </c>
      <c r="L146" s="430">
        <v>6760.0000000000018</v>
      </c>
      <c r="M146" s="430">
        <v>4843.75</v>
      </c>
      <c r="N146" s="430">
        <v>11603.750000000002</v>
      </c>
      <c r="O146" s="430">
        <v>0</v>
      </c>
      <c r="P146" s="430">
        <v>11603.750000000002</v>
      </c>
      <c r="Q146" s="430" t="e">
        <v>#REF!</v>
      </c>
      <c r="R146" s="430">
        <v>16521.75</v>
      </c>
      <c r="S146" s="430">
        <v>1257.8</v>
      </c>
      <c r="T146" s="430">
        <v>15263.95</v>
      </c>
      <c r="U146" s="430">
        <v>5059.75</v>
      </c>
      <c r="V146" s="430">
        <v>20323.7</v>
      </c>
      <c r="W146" s="430">
        <v>5.1159076974727213E-13</v>
      </c>
      <c r="X146" s="430">
        <v>20323.7</v>
      </c>
      <c r="Y146" s="430">
        <v>4830.25</v>
      </c>
      <c r="Z146" s="430">
        <v>25153.95</v>
      </c>
      <c r="AB146" s="430"/>
    </row>
    <row r="147" spans="1:28" x14ac:dyDescent="0.25">
      <c r="A147" s="430" t="s">
        <v>138</v>
      </c>
      <c r="B147" s="430" t="s">
        <v>933</v>
      </c>
      <c r="C147" s="430">
        <v>2950.64</v>
      </c>
      <c r="D147" s="430">
        <v>4418.5</v>
      </c>
      <c r="E147" s="430">
        <v>7369.1399999999994</v>
      </c>
      <c r="F147" s="430">
        <v>2951</v>
      </c>
      <c r="G147" s="430">
        <v>4418.1399999999994</v>
      </c>
      <c r="H147" s="430">
        <v>4641.25</v>
      </c>
      <c r="I147" s="430">
        <v>4829.7</v>
      </c>
      <c r="J147" s="430">
        <v>13889.09</v>
      </c>
      <c r="K147" s="430">
        <v>0</v>
      </c>
      <c r="L147" s="430">
        <v>13889.09</v>
      </c>
      <c r="M147" s="430">
        <v>4745.88</v>
      </c>
      <c r="N147" s="430">
        <v>18634.97</v>
      </c>
      <c r="O147" s="430">
        <v>4568</v>
      </c>
      <c r="P147" s="430">
        <v>14066.970000000001</v>
      </c>
      <c r="Q147" s="430" t="e">
        <v>#REF!</v>
      </c>
      <c r="R147" s="430">
        <v>18957.29</v>
      </c>
      <c r="S147" s="430">
        <v>4968</v>
      </c>
      <c r="T147" s="430">
        <v>13989.29</v>
      </c>
      <c r="U147" s="430">
        <v>4859.95</v>
      </c>
      <c r="V147" s="430">
        <v>18849.240000000002</v>
      </c>
      <c r="W147" s="430">
        <v>0</v>
      </c>
      <c r="X147" s="430">
        <v>18849.240000000002</v>
      </c>
      <c r="Y147" s="430">
        <v>4674.32</v>
      </c>
      <c r="Z147" s="430">
        <v>23523.56</v>
      </c>
      <c r="AB147" s="430"/>
    </row>
    <row r="148" spans="1:28" x14ac:dyDescent="0.25">
      <c r="A148" s="430" t="s">
        <v>140</v>
      </c>
      <c r="B148" s="430" t="s">
        <v>932</v>
      </c>
      <c r="C148" s="430">
        <v>18288.099999999999</v>
      </c>
      <c r="D148" s="430">
        <v>4616.5</v>
      </c>
      <c r="E148" s="430">
        <v>22904.6</v>
      </c>
      <c r="F148" s="430">
        <v>1689</v>
      </c>
      <c r="G148" s="430">
        <v>21215.599999999999</v>
      </c>
      <c r="H148" s="430">
        <v>4722.25</v>
      </c>
      <c r="I148" s="430">
        <v>5060.82</v>
      </c>
      <c r="J148" s="430">
        <v>30998.67</v>
      </c>
      <c r="K148" s="430">
        <v>18022.55</v>
      </c>
      <c r="L148" s="430">
        <v>12976.119999999999</v>
      </c>
      <c r="M148" s="430">
        <v>4817.88</v>
      </c>
      <c r="N148" s="430">
        <v>17794</v>
      </c>
      <c r="O148" s="430">
        <v>1174.1199999999999</v>
      </c>
      <c r="P148" s="430">
        <v>16619.88</v>
      </c>
      <c r="Q148" s="430" t="e">
        <v>#REF!</v>
      </c>
      <c r="R148" s="430">
        <v>21487.260000000002</v>
      </c>
      <c r="S148" s="430">
        <v>9700</v>
      </c>
      <c r="T148" s="430">
        <v>11787.260000000002</v>
      </c>
      <c r="U148" s="430">
        <v>4899.1000000000004</v>
      </c>
      <c r="V148" s="430">
        <v>16686.36</v>
      </c>
      <c r="W148" s="430">
        <v>0</v>
      </c>
      <c r="X148" s="430">
        <v>16686.36</v>
      </c>
      <c r="Y148" s="430">
        <v>4722.25</v>
      </c>
      <c r="Z148" s="430">
        <v>21408.61</v>
      </c>
      <c r="AB148" s="430"/>
    </row>
    <row r="149" spans="1:28" x14ac:dyDescent="0.25">
      <c r="A149" s="430" t="s">
        <v>142</v>
      </c>
      <c r="B149" s="430" t="s">
        <v>931</v>
      </c>
      <c r="C149" s="430">
        <v>624.77000000000044</v>
      </c>
      <c r="D149" s="430">
        <v>4634.5</v>
      </c>
      <c r="E149" s="430">
        <v>5259.27</v>
      </c>
      <c r="F149" s="430"/>
      <c r="G149" s="430">
        <v>5259.27</v>
      </c>
      <c r="H149" s="430">
        <v>4668.25</v>
      </c>
      <c r="I149" s="430">
        <v>4906.74</v>
      </c>
      <c r="J149" s="430">
        <v>14834.26</v>
      </c>
      <c r="K149" s="430">
        <v>1425.7199999999998</v>
      </c>
      <c r="L149" s="430">
        <v>13408.54</v>
      </c>
      <c r="M149" s="430">
        <v>4695.25</v>
      </c>
      <c r="N149" s="430">
        <v>18103.79</v>
      </c>
      <c r="O149" s="430">
        <v>11860.25</v>
      </c>
      <c r="P149" s="430">
        <v>6243.5400000000009</v>
      </c>
      <c r="Q149" s="430" t="e">
        <v>#REF!</v>
      </c>
      <c r="R149" s="430">
        <v>10938.79</v>
      </c>
      <c r="S149" s="430">
        <v>8699.58</v>
      </c>
      <c r="T149" s="430">
        <v>2239.2100000000009</v>
      </c>
      <c r="U149" s="430">
        <v>4702</v>
      </c>
      <c r="V149" s="430">
        <v>6941.2100000000009</v>
      </c>
      <c r="W149" s="430">
        <v>0</v>
      </c>
      <c r="X149" s="430">
        <v>6941.2100000000009</v>
      </c>
      <c r="Y149" s="430">
        <v>4715.5</v>
      </c>
      <c r="Z149" s="430">
        <v>11656.710000000001</v>
      </c>
      <c r="AB149" s="430"/>
    </row>
    <row r="150" spans="1:28" x14ac:dyDescent="0.25">
      <c r="A150" s="430" t="s">
        <v>146</v>
      </c>
      <c r="B150" s="430" t="s">
        <v>930</v>
      </c>
      <c r="C150" s="430">
        <v>3552.5400000000009</v>
      </c>
      <c r="D150" s="430">
        <v>4873</v>
      </c>
      <c r="E150" s="430">
        <v>8425.5400000000009</v>
      </c>
      <c r="F150" s="430">
        <v>3632.48</v>
      </c>
      <c r="G150" s="430">
        <v>4793.0600000000013</v>
      </c>
      <c r="H150" s="430">
        <v>5019.25</v>
      </c>
      <c r="I150" s="430">
        <v>5908.26</v>
      </c>
      <c r="J150" s="430">
        <v>15720.570000000002</v>
      </c>
      <c r="K150" s="430">
        <v>3523</v>
      </c>
      <c r="L150" s="430">
        <v>12197.570000000002</v>
      </c>
      <c r="M150" s="430">
        <v>5262.25</v>
      </c>
      <c r="N150" s="430">
        <v>17459.82</v>
      </c>
      <c r="O150" s="430">
        <v>11045</v>
      </c>
      <c r="P150" s="430">
        <v>6414.82</v>
      </c>
      <c r="Q150" s="430" t="e">
        <v>#REF!</v>
      </c>
      <c r="R150" s="430">
        <v>11753.57</v>
      </c>
      <c r="S150" s="430">
        <v>11552.5</v>
      </c>
      <c r="T150" s="430">
        <v>201.06999999999971</v>
      </c>
      <c r="U150" s="430">
        <v>5377</v>
      </c>
      <c r="V150" s="430">
        <v>5578.07</v>
      </c>
      <c r="W150" s="430">
        <v>0</v>
      </c>
      <c r="X150" s="430">
        <v>5578.07</v>
      </c>
      <c r="Y150" s="430">
        <v>5134</v>
      </c>
      <c r="Z150" s="430">
        <v>10712.07</v>
      </c>
      <c r="AB150" s="430"/>
    </row>
    <row r="151" spans="1:28" x14ac:dyDescent="0.25">
      <c r="A151" s="439" t="s">
        <v>148</v>
      </c>
      <c r="B151" s="430" t="s">
        <v>929</v>
      </c>
      <c r="C151" s="430">
        <v>3444.3000000000011</v>
      </c>
      <c r="D151" s="430">
        <v>4540</v>
      </c>
      <c r="E151" s="430">
        <v>7984.3000000000011</v>
      </c>
      <c r="F151" s="430">
        <v>7984.3</v>
      </c>
      <c r="G151" s="430">
        <v>0</v>
      </c>
      <c r="H151" s="430">
        <v>4576</v>
      </c>
      <c r="I151" s="430">
        <v>4643.5200000000004</v>
      </c>
      <c r="J151" s="430">
        <v>9219.52</v>
      </c>
      <c r="K151" s="430">
        <v>0</v>
      </c>
      <c r="L151" s="430">
        <v>9219.52</v>
      </c>
      <c r="M151" s="430">
        <v>4652.28</v>
      </c>
      <c r="N151" s="430">
        <v>13871.8</v>
      </c>
      <c r="O151" s="430">
        <v>11351</v>
      </c>
      <c r="P151" s="430">
        <v>2520.7999999999993</v>
      </c>
      <c r="Q151" s="430" t="e">
        <v>#REF!</v>
      </c>
      <c r="R151" s="430">
        <v>7257.7899999999991</v>
      </c>
      <c r="S151" s="430">
        <v>0</v>
      </c>
      <c r="T151" s="430">
        <v>7257.7899999999991</v>
      </c>
      <c r="U151" s="430">
        <v>4715.5</v>
      </c>
      <c r="V151" s="430">
        <v>11973.289999999999</v>
      </c>
      <c r="W151" s="430">
        <v>1692.51</v>
      </c>
      <c r="X151" s="430">
        <v>10280.779999999999</v>
      </c>
      <c r="Y151" s="430">
        <v>4714.83</v>
      </c>
      <c r="Z151" s="430">
        <v>14995.609999999999</v>
      </c>
      <c r="AB151" s="430"/>
    </row>
    <row r="152" spans="1:28" x14ac:dyDescent="0.25">
      <c r="A152" s="430" t="s">
        <v>150</v>
      </c>
      <c r="B152" s="430" t="s">
        <v>928</v>
      </c>
      <c r="C152" s="430">
        <v>2105.5400000000009</v>
      </c>
      <c r="D152" s="430">
        <v>4591.75</v>
      </c>
      <c r="E152" s="430">
        <v>6697.2900000000009</v>
      </c>
      <c r="F152" s="430">
        <v>596</v>
      </c>
      <c r="G152" s="430">
        <v>6101.2900000000009</v>
      </c>
      <c r="H152" s="430">
        <v>4576</v>
      </c>
      <c r="I152" s="430">
        <v>4643.5200000000004</v>
      </c>
      <c r="J152" s="430">
        <v>15320.810000000001</v>
      </c>
      <c r="K152" s="430">
        <v>4955</v>
      </c>
      <c r="L152" s="430">
        <v>10365.810000000001</v>
      </c>
      <c r="M152" s="430">
        <v>5174.5</v>
      </c>
      <c r="N152" s="430">
        <v>15540.310000000001</v>
      </c>
      <c r="O152" s="430">
        <v>0</v>
      </c>
      <c r="P152" s="430">
        <v>15540.310000000001</v>
      </c>
      <c r="Q152" s="430" t="e">
        <v>#REF!</v>
      </c>
      <c r="R152" s="430">
        <v>20721.560000000001</v>
      </c>
      <c r="S152" s="430">
        <v>0</v>
      </c>
      <c r="T152" s="430">
        <v>20721.560000000001</v>
      </c>
      <c r="U152" s="430">
        <v>5363.5</v>
      </c>
      <c r="V152" s="430">
        <v>26085.06</v>
      </c>
      <c r="W152" s="430">
        <v>0</v>
      </c>
      <c r="X152" s="430">
        <v>26085.06</v>
      </c>
      <c r="Y152" s="430">
        <v>5161</v>
      </c>
      <c r="Z152" s="430">
        <v>31246.06</v>
      </c>
      <c r="AB152" s="430"/>
    </row>
    <row r="153" spans="1:28" x14ac:dyDescent="0.25">
      <c r="A153" s="430" t="s">
        <v>144</v>
      </c>
      <c r="B153" s="430" t="s">
        <v>927</v>
      </c>
      <c r="C153" s="430">
        <v>22318.42</v>
      </c>
      <c r="D153" s="430">
        <v>5059.75</v>
      </c>
      <c r="E153" s="430">
        <v>27378.17</v>
      </c>
      <c r="F153" s="430">
        <v>19922.3</v>
      </c>
      <c r="G153" s="430">
        <v>7455.869999999999</v>
      </c>
      <c r="H153" s="430">
        <v>5107</v>
      </c>
      <c r="I153" s="430">
        <v>6158.64</v>
      </c>
      <c r="J153" s="430">
        <v>18721.509999999998</v>
      </c>
      <c r="K153" s="430">
        <v>1859</v>
      </c>
      <c r="L153" s="430">
        <v>16862.509999999998</v>
      </c>
      <c r="M153" s="430">
        <v>5451.25</v>
      </c>
      <c r="N153" s="430">
        <v>22313.759999999998</v>
      </c>
      <c r="O153" s="430">
        <v>1940</v>
      </c>
      <c r="P153" s="430">
        <v>20373.759999999998</v>
      </c>
      <c r="Q153" s="430" t="e">
        <v>#REF!</v>
      </c>
      <c r="R153" s="430">
        <v>25703.51</v>
      </c>
      <c r="S153" s="430">
        <v>5617</v>
      </c>
      <c r="T153" s="430">
        <v>20086.509999999998</v>
      </c>
      <c r="U153" s="430">
        <v>5343.25</v>
      </c>
      <c r="V153" s="430">
        <v>25429.759999999998</v>
      </c>
      <c r="W153" s="430">
        <v>0</v>
      </c>
      <c r="X153" s="430">
        <v>25429.759999999998</v>
      </c>
      <c r="Y153" s="430">
        <v>4884.25</v>
      </c>
      <c r="Z153" s="430">
        <v>30314.01</v>
      </c>
      <c r="AB153" s="430"/>
    </row>
    <row r="154" spans="1:28" x14ac:dyDescent="0.25">
      <c r="A154" s="430" t="s">
        <v>152</v>
      </c>
      <c r="B154" s="430" t="s">
        <v>926</v>
      </c>
      <c r="C154" s="430">
        <v>4298.9500000000007</v>
      </c>
      <c r="D154" s="430">
        <v>5390.5</v>
      </c>
      <c r="E154" s="430">
        <v>9689.4500000000007</v>
      </c>
      <c r="F154" s="430"/>
      <c r="G154" s="430">
        <v>9689.4500000000007</v>
      </c>
      <c r="H154" s="430">
        <v>5593</v>
      </c>
      <c r="I154" s="430">
        <v>7545.36</v>
      </c>
      <c r="J154" s="430">
        <v>22827.81</v>
      </c>
      <c r="K154" s="430">
        <v>840</v>
      </c>
      <c r="L154" s="430">
        <v>21987.81</v>
      </c>
      <c r="M154" s="430">
        <v>5775.25</v>
      </c>
      <c r="N154" s="430">
        <v>27763.06</v>
      </c>
      <c r="O154" s="430">
        <v>673</v>
      </c>
      <c r="P154" s="430">
        <v>27090.06</v>
      </c>
      <c r="Q154" s="430" t="e">
        <v>#REF!</v>
      </c>
      <c r="R154" s="430">
        <v>32811.31</v>
      </c>
      <c r="S154" s="430">
        <v>8545.67</v>
      </c>
      <c r="T154" s="430">
        <v>24265.64</v>
      </c>
      <c r="U154" s="430">
        <v>5404</v>
      </c>
      <c r="V154" s="430">
        <v>29669.64</v>
      </c>
      <c r="W154" s="430">
        <v>0</v>
      </c>
      <c r="X154" s="430">
        <v>29669.64</v>
      </c>
      <c r="Y154" s="430">
        <v>5080</v>
      </c>
      <c r="Z154" s="430">
        <v>34749.64</v>
      </c>
      <c r="AB154" s="430"/>
    </row>
    <row r="155" spans="1:28" x14ac:dyDescent="0.25">
      <c r="A155" s="430" t="s">
        <v>154</v>
      </c>
      <c r="B155" s="430" t="s">
        <v>925</v>
      </c>
      <c r="C155" s="430">
        <v>19715.75</v>
      </c>
      <c r="D155" s="430">
        <v>5478.25</v>
      </c>
      <c r="E155" s="430">
        <v>25194</v>
      </c>
      <c r="F155" s="430">
        <v>24417.87</v>
      </c>
      <c r="G155" s="430">
        <v>776.13000000000102</v>
      </c>
      <c r="H155" s="430">
        <v>5725.75</v>
      </c>
      <c r="I155" s="430">
        <v>7924.14</v>
      </c>
      <c r="J155" s="430">
        <v>14426.02</v>
      </c>
      <c r="K155" s="430"/>
      <c r="L155" s="430">
        <v>14426.02</v>
      </c>
      <c r="M155" s="430">
        <v>6062.8</v>
      </c>
      <c r="N155" s="430">
        <v>20488.82</v>
      </c>
      <c r="O155" s="430">
        <v>8929.2099999999991</v>
      </c>
      <c r="P155" s="430">
        <v>11559.61</v>
      </c>
      <c r="Q155" s="430" t="e">
        <v>#REF!</v>
      </c>
      <c r="R155" s="430">
        <v>17314.61</v>
      </c>
      <c r="S155" s="430">
        <v>0</v>
      </c>
      <c r="T155" s="430">
        <v>17314.61</v>
      </c>
      <c r="U155" s="430">
        <v>5659.15</v>
      </c>
      <c r="V155" s="430">
        <v>22973.760000000002</v>
      </c>
      <c r="W155" s="430">
        <v>0</v>
      </c>
      <c r="X155" s="430">
        <v>22973.760000000002</v>
      </c>
      <c r="Y155" s="430">
        <v>5518.75</v>
      </c>
      <c r="Z155" s="430">
        <v>28492.510000000002</v>
      </c>
      <c r="AB155" s="430"/>
    </row>
    <row r="156" spans="1:28" ht="13.8" thickBot="1" x14ac:dyDescent="0.3">
      <c r="A156" s="430" t="s">
        <v>156</v>
      </c>
      <c r="B156" s="430" t="s">
        <v>924</v>
      </c>
      <c r="C156" s="430">
        <v>-0.23999999999796273</v>
      </c>
      <c r="D156" s="430">
        <v>4769.5</v>
      </c>
      <c r="E156" s="430">
        <v>4769.260000000002</v>
      </c>
      <c r="F156" s="430"/>
      <c r="G156" s="430">
        <v>4769.260000000002</v>
      </c>
      <c r="H156" s="430">
        <v>4828</v>
      </c>
      <c r="I156" s="430">
        <v>5362.56</v>
      </c>
      <c r="J156" s="430">
        <v>14959.820000000003</v>
      </c>
      <c r="K156" s="430">
        <v>3090</v>
      </c>
      <c r="L156" s="430">
        <v>11869.820000000003</v>
      </c>
      <c r="M156" s="430">
        <v>4965.25</v>
      </c>
      <c r="N156" s="430">
        <v>16835.070000000003</v>
      </c>
      <c r="O156" s="430">
        <v>0</v>
      </c>
      <c r="P156" s="430">
        <v>16835.070000000003</v>
      </c>
      <c r="Q156" s="430" t="e">
        <v>#REF!</v>
      </c>
      <c r="R156" s="430">
        <v>21807.070000000003</v>
      </c>
      <c r="S156" s="430">
        <v>3678.55</v>
      </c>
      <c r="T156" s="430">
        <v>18128.520000000004</v>
      </c>
      <c r="U156" s="430">
        <v>4965.25</v>
      </c>
      <c r="V156" s="430">
        <v>23093.770000000004</v>
      </c>
      <c r="W156" s="430">
        <v>0</v>
      </c>
      <c r="X156" s="430">
        <v>23093.770000000004</v>
      </c>
      <c r="Y156" s="430">
        <v>4965.25</v>
      </c>
      <c r="Z156" s="430">
        <v>28059.020000000004</v>
      </c>
      <c r="AB156" s="430"/>
    </row>
    <row r="157" spans="1:28" ht="15" thickBot="1" x14ac:dyDescent="0.35">
      <c r="A157" s="440"/>
      <c r="B157" s="441" t="s">
        <v>885</v>
      </c>
      <c r="C157" s="438">
        <v>206256.05000000005</v>
      </c>
      <c r="D157" s="438">
        <v>128302.2</v>
      </c>
      <c r="E157" s="438">
        <v>334558.25</v>
      </c>
      <c r="F157" s="438">
        <v>155378.94</v>
      </c>
      <c r="G157" s="438">
        <v>179179.31000000003</v>
      </c>
      <c r="H157" s="438">
        <v>130225.73</v>
      </c>
      <c r="I157" s="438">
        <v>144791.10000000003</v>
      </c>
      <c r="J157" s="438">
        <v>454196.14</v>
      </c>
      <c r="K157" s="438">
        <v>114088.76000000001</v>
      </c>
      <c r="L157" s="438">
        <v>340107.38</v>
      </c>
      <c r="M157" s="438">
        <v>134626.38</v>
      </c>
      <c r="N157" s="438">
        <v>474733.75999999995</v>
      </c>
      <c r="O157" s="438">
        <v>141642.84</v>
      </c>
      <c r="P157" s="438">
        <v>333090.92</v>
      </c>
      <c r="Q157" s="438" t="e">
        <v>#REF!</v>
      </c>
      <c r="R157" s="438">
        <v>468366.20999999996</v>
      </c>
      <c r="S157" s="438">
        <v>147863.21</v>
      </c>
      <c r="T157" s="438">
        <v>320503</v>
      </c>
      <c r="U157" s="438">
        <v>135275.18</v>
      </c>
      <c r="V157" s="438">
        <v>455778.18000000005</v>
      </c>
      <c r="W157" s="438">
        <v>34983.880000000005</v>
      </c>
      <c r="X157" s="438">
        <v>420794.3000000001</v>
      </c>
      <c r="Y157" s="438">
        <v>130968.78000000001</v>
      </c>
      <c r="Z157" s="438">
        <v>551763.08000000007</v>
      </c>
      <c r="AB157" s="430"/>
    </row>
    <row r="158" spans="1:28" x14ac:dyDescent="0.25">
      <c r="A158" t="s">
        <v>502</v>
      </c>
      <c r="B158" s="42" t="s">
        <v>923</v>
      </c>
      <c r="C158" s="430">
        <v>19896</v>
      </c>
      <c r="D158" s="430">
        <v>21561.25</v>
      </c>
      <c r="E158" s="430">
        <v>41457.25</v>
      </c>
      <c r="F158" s="430">
        <v>19896</v>
      </c>
      <c r="G158" s="430">
        <v>21561.25</v>
      </c>
      <c r="H158" s="430">
        <v>22258.75</v>
      </c>
      <c r="I158" s="430">
        <v>55098.3</v>
      </c>
      <c r="J158" s="430">
        <v>98918.3</v>
      </c>
      <c r="K158" s="430">
        <v>43820</v>
      </c>
      <c r="L158" s="430">
        <v>55098.3</v>
      </c>
      <c r="M158" s="430">
        <v>23063.13</v>
      </c>
      <c r="N158" s="430">
        <v>78161.430000000008</v>
      </c>
      <c r="O158" s="430">
        <v>55098</v>
      </c>
      <c r="P158" s="430">
        <v>23063.430000000008</v>
      </c>
      <c r="Q158" s="430" t="e">
        <v>#REF!</v>
      </c>
      <c r="R158" s="430">
        <v>45924.05</v>
      </c>
      <c r="S158" s="430">
        <v>45924</v>
      </c>
      <c r="T158" s="430">
        <v>5.0000000002910383E-2</v>
      </c>
      <c r="U158" s="430">
        <v>22776.25</v>
      </c>
      <c r="V158" s="430">
        <v>22776.300000000003</v>
      </c>
      <c r="W158" s="430">
        <v>0</v>
      </c>
      <c r="X158" s="430">
        <v>22776.300000000003</v>
      </c>
      <c r="Y158" s="430">
        <v>23175.62</v>
      </c>
      <c r="Z158" s="430">
        <v>45951.92</v>
      </c>
      <c r="AB158" s="430"/>
    </row>
    <row r="159" spans="1:28" x14ac:dyDescent="0.25">
      <c r="A159" t="s">
        <v>578</v>
      </c>
      <c r="B159" s="42" t="s">
        <v>922</v>
      </c>
      <c r="C159" s="430">
        <v>369.6299999999901</v>
      </c>
      <c r="D159" s="430">
        <v>15947.5</v>
      </c>
      <c r="E159" s="430">
        <v>16317.12999999999</v>
      </c>
      <c r="F159" s="430"/>
      <c r="G159" s="430">
        <v>16317.12999999999</v>
      </c>
      <c r="H159" s="430">
        <v>14057.5</v>
      </c>
      <c r="I159" s="430">
        <v>31697.4</v>
      </c>
      <c r="J159" s="430">
        <v>62072.029999999992</v>
      </c>
      <c r="K159" s="430">
        <v>0</v>
      </c>
      <c r="L159" s="430">
        <v>62072.029999999992</v>
      </c>
      <c r="M159" s="430">
        <v>14867.5</v>
      </c>
      <c r="N159" s="430">
        <v>76939.53</v>
      </c>
      <c r="O159" s="430">
        <v>0</v>
      </c>
      <c r="P159" s="430">
        <v>76939.53</v>
      </c>
      <c r="Q159" s="430" t="e">
        <v>#REF!</v>
      </c>
      <c r="R159" s="430">
        <v>92650.78</v>
      </c>
      <c r="S159" s="430">
        <v>0</v>
      </c>
      <c r="T159" s="430">
        <v>92650.78</v>
      </c>
      <c r="U159" s="430">
        <v>21735.62</v>
      </c>
      <c r="V159" s="430">
        <v>114386.4</v>
      </c>
      <c r="W159" s="430">
        <v>94920.590000000011</v>
      </c>
      <c r="X159" s="430">
        <v>19465.809999999983</v>
      </c>
      <c r="Y159" s="430">
        <v>21119.69</v>
      </c>
      <c r="Z159" s="430">
        <v>40585.499999999985</v>
      </c>
      <c r="AB159" s="430"/>
    </row>
    <row r="160" spans="1:28" x14ac:dyDescent="0.25">
      <c r="A160" t="s">
        <v>506</v>
      </c>
      <c r="B160" t="s">
        <v>921</v>
      </c>
      <c r="C160" s="430">
        <v>0</v>
      </c>
      <c r="D160" s="430">
        <v>22348.75</v>
      </c>
      <c r="E160" s="430">
        <v>22348.75</v>
      </c>
      <c r="F160" s="430">
        <v>21051</v>
      </c>
      <c r="G160" s="430">
        <v>1297.75</v>
      </c>
      <c r="H160" s="430">
        <v>22978.75</v>
      </c>
      <c r="I160" s="430">
        <v>57152.7</v>
      </c>
      <c r="J160" s="430">
        <v>81429.2</v>
      </c>
      <c r="K160" s="430">
        <v>0</v>
      </c>
      <c r="L160" s="430">
        <v>81429.2</v>
      </c>
      <c r="M160" s="430">
        <v>22905.63</v>
      </c>
      <c r="N160" s="430">
        <v>104334.83</v>
      </c>
      <c r="O160" s="430">
        <v>104334.84</v>
      </c>
      <c r="P160" s="430">
        <v>-9.9999999947613105E-3</v>
      </c>
      <c r="Q160" s="430" t="e">
        <v>#REF!</v>
      </c>
      <c r="R160" s="430">
        <v>23119.370000000006</v>
      </c>
      <c r="S160" s="430">
        <v>-0.83</v>
      </c>
      <c r="T160" s="430">
        <v>23120.200000000008</v>
      </c>
      <c r="U160" s="430">
        <v>23282.5</v>
      </c>
      <c r="V160" s="430">
        <v>46402.700000000012</v>
      </c>
      <c r="W160" s="430">
        <v>0</v>
      </c>
      <c r="X160" s="430">
        <v>46402.700000000012</v>
      </c>
      <c r="Y160" s="430">
        <v>24401.88</v>
      </c>
      <c r="Z160" s="430">
        <v>70804.580000000016</v>
      </c>
      <c r="AB160" s="430"/>
    </row>
    <row r="161" spans="1:28" ht="13.8" x14ac:dyDescent="0.3">
      <c r="A161" t="s">
        <v>920</v>
      </c>
      <c r="B161" s="442" t="s">
        <v>919</v>
      </c>
      <c r="C161" s="430">
        <v>7702</v>
      </c>
      <c r="D161" s="430">
        <v>8455</v>
      </c>
      <c r="E161" s="430">
        <v>16157</v>
      </c>
      <c r="F161" s="430">
        <v>1744.4</v>
      </c>
      <c r="G161" s="430">
        <v>14412.6</v>
      </c>
      <c r="H161" s="430">
        <v>9214.3799999999992</v>
      </c>
      <c r="I161" s="430">
        <v>17878.349999999999</v>
      </c>
      <c r="J161" s="430">
        <v>41505.33</v>
      </c>
      <c r="K161" s="430">
        <v>12413.29</v>
      </c>
      <c r="L161" s="430">
        <v>29092.04</v>
      </c>
      <c r="M161" s="430">
        <v>9248.1299999999992</v>
      </c>
      <c r="N161" s="430">
        <v>38340.17</v>
      </c>
      <c r="O161" s="430">
        <v>38340.17</v>
      </c>
      <c r="P161" s="430">
        <v>0</v>
      </c>
      <c r="Q161" s="430"/>
      <c r="R161" s="430">
        <v>0</v>
      </c>
      <c r="S161" s="430">
        <v>0</v>
      </c>
      <c r="T161" s="430">
        <v>0</v>
      </c>
      <c r="U161" s="430"/>
      <c r="V161" s="430">
        <v>0</v>
      </c>
      <c r="W161" s="430">
        <v>0</v>
      </c>
      <c r="X161" s="430">
        <v>0</v>
      </c>
      <c r="Y161" s="430">
        <v>0</v>
      </c>
      <c r="Z161" s="430">
        <v>0</v>
      </c>
      <c r="AB161" s="430"/>
    </row>
    <row r="162" spans="1:28" x14ac:dyDescent="0.25">
      <c r="A162" t="s">
        <v>508</v>
      </c>
      <c r="B162" t="s">
        <v>918</v>
      </c>
      <c r="C162" s="430">
        <v>3</v>
      </c>
      <c r="D162" s="430">
        <v>24131.88</v>
      </c>
      <c r="E162" s="430">
        <v>24134.880000000001</v>
      </c>
      <c r="F162" s="430"/>
      <c r="G162" s="430">
        <v>24134.880000000001</v>
      </c>
      <c r="H162" s="430">
        <v>24233.13</v>
      </c>
      <c r="I162" s="430">
        <v>60731.85</v>
      </c>
      <c r="J162" s="430">
        <v>109099.86</v>
      </c>
      <c r="K162" s="430">
        <v>0</v>
      </c>
      <c r="L162" s="430">
        <v>109099.86</v>
      </c>
      <c r="M162" s="430">
        <v>24503.13</v>
      </c>
      <c r="N162" s="430">
        <v>133602.99</v>
      </c>
      <c r="O162" s="430">
        <v>91064</v>
      </c>
      <c r="P162" s="430">
        <v>42538.989999999991</v>
      </c>
      <c r="Q162" s="430" t="e">
        <v>#REF!</v>
      </c>
      <c r="R162" s="430">
        <v>67042.109999999986</v>
      </c>
      <c r="S162" s="430">
        <v>0</v>
      </c>
      <c r="T162" s="430">
        <v>67042.109999999986</v>
      </c>
      <c r="U162" s="430">
        <v>24401.88</v>
      </c>
      <c r="V162" s="430">
        <v>91443.989999999991</v>
      </c>
      <c r="W162" s="430">
        <v>0</v>
      </c>
      <c r="X162" s="430">
        <v>91443.989999999991</v>
      </c>
      <c r="Y162" s="430">
        <v>24131.88</v>
      </c>
      <c r="Z162" s="430">
        <v>115575.87</v>
      </c>
      <c r="AB162" s="430"/>
    </row>
    <row r="163" spans="1:28" x14ac:dyDescent="0.25">
      <c r="A163" t="s">
        <v>510</v>
      </c>
      <c r="B163" s="42" t="s">
        <v>917</v>
      </c>
      <c r="C163" s="430">
        <v>0</v>
      </c>
      <c r="D163" s="430">
        <v>16661.88</v>
      </c>
      <c r="E163" s="430">
        <v>16661.88</v>
      </c>
      <c r="F163" s="430">
        <v>16606</v>
      </c>
      <c r="G163" s="430">
        <v>55.880000000001019</v>
      </c>
      <c r="H163" s="430">
        <v>16673.13</v>
      </c>
      <c r="I163" s="430">
        <v>39160.65</v>
      </c>
      <c r="J163" s="430">
        <v>55889.66</v>
      </c>
      <c r="K163" s="430">
        <v>0</v>
      </c>
      <c r="L163" s="430">
        <v>55889.66</v>
      </c>
      <c r="M163" s="430">
        <v>16656.25</v>
      </c>
      <c r="N163" s="430">
        <v>72545.91</v>
      </c>
      <c r="O163" s="430">
        <v>0</v>
      </c>
      <c r="P163" s="430">
        <v>72545.91</v>
      </c>
      <c r="Q163" s="430" t="e">
        <v>#REF!</v>
      </c>
      <c r="R163" s="430">
        <v>89202.16</v>
      </c>
      <c r="S163" s="430">
        <v>78288</v>
      </c>
      <c r="T163" s="430">
        <v>10914.160000000003</v>
      </c>
      <c r="U163" s="430">
        <v>16622.5</v>
      </c>
      <c r="V163" s="430">
        <v>27536.660000000003</v>
      </c>
      <c r="W163" s="430">
        <v>0</v>
      </c>
      <c r="X163" s="430">
        <v>27536.660000000003</v>
      </c>
      <c r="Y163" s="430">
        <v>16605.62</v>
      </c>
      <c r="Z163" s="430">
        <v>44142.28</v>
      </c>
      <c r="AB163" s="430"/>
    </row>
    <row r="164" spans="1:28" x14ac:dyDescent="0.25">
      <c r="A164" t="s">
        <v>514</v>
      </c>
      <c r="B164" t="s">
        <v>916</v>
      </c>
      <c r="C164" s="430">
        <v>26.459999999999127</v>
      </c>
      <c r="D164" s="430">
        <v>13028.13</v>
      </c>
      <c r="E164" s="430">
        <v>13054.589999999998</v>
      </c>
      <c r="F164" s="430">
        <v>13054.59</v>
      </c>
      <c r="G164" s="430">
        <v>0</v>
      </c>
      <c r="H164" s="430">
        <v>13433.13</v>
      </c>
      <c r="I164" s="430">
        <v>29915.85</v>
      </c>
      <c r="J164" s="430">
        <v>43348.979999999996</v>
      </c>
      <c r="K164" s="430">
        <v>0</v>
      </c>
      <c r="L164" s="430">
        <v>43348.979999999996</v>
      </c>
      <c r="M164" s="430">
        <v>13821.25</v>
      </c>
      <c r="N164" s="430">
        <v>57170.229999999996</v>
      </c>
      <c r="O164" s="430">
        <v>47248.539999999994</v>
      </c>
      <c r="P164" s="430">
        <v>9921.6900000000023</v>
      </c>
      <c r="Q164" s="430" t="e">
        <v>#REF!</v>
      </c>
      <c r="R164" s="430">
        <v>23962.310000000005</v>
      </c>
      <c r="S164" s="430">
        <v>20436.580000000002</v>
      </c>
      <c r="T164" s="430">
        <v>3525.7300000000032</v>
      </c>
      <c r="U164" s="430">
        <v>14631.25</v>
      </c>
      <c r="V164" s="430">
        <v>18156.980000000003</v>
      </c>
      <c r="W164" s="430">
        <v>15654</v>
      </c>
      <c r="X164" s="430">
        <v>2502.9800000000032</v>
      </c>
      <c r="Y164" s="430">
        <v>15044.69</v>
      </c>
      <c r="Z164" s="430">
        <v>17547.670000000006</v>
      </c>
      <c r="AB164" s="430"/>
    </row>
    <row r="165" spans="1:28" x14ac:dyDescent="0.25">
      <c r="B165" t="s">
        <v>915</v>
      </c>
      <c r="C165" s="430"/>
      <c r="D165" s="430"/>
      <c r="E165" s="430"/>
      <c r="F165" s="430"/>
      <c r="G165" s="430"/>
      <c r="H165" s="430"/>
      <c r="I165" s="430"/>
      <c r="J165" s="430"/>
      <c r="K165" s="430"/>
      <c r="L165" s="430"/>
      <c r="M165" s="430"/>
      <c r="N165" s="430"/>
      <c r="O165" s="430"/>
      <c r="P165" s="430">
        <v>0</v>
      </c>
      <c r="Q165" s="430">
        <v>27928.75</v>
      </c>
      <c r="R165" s="430">
        <v>27928.75</v>
      </c>
      <c r="S165" s="430">
        <v>27928.75</v>
      </c>
      <c r="T165" s="430">
        <v>0</v>
      </c>
      <c r="U165" s="430">
        <v>28412.5</v>
      </c>
      <c r="V165" s="430">
        <v>28412.5</v>
      </c>
      <c r="W165" s="430">
        <v>0</v>
      </c>
      <c r="X165" s="430">
        <v>28412.5</v>
      </c>
      <c r="Y165" s="430">
        <v>0</v>
      </c>
      <c r="Z165" s="430">
        <v>28412.5</v>
      </c>
      <c r="AB165" s="430"/>
    </row>
    <row r="166" spans="1:28" ht="13.8" x14ac:dyDescent="0.3">
      <c r="A166" t="s">
        <v>520</v>
      </c>
      <c r="B166" s="442" t="s">
        <v>914</v>
      </c>
      <c r="C166" s="430">
        <v>16369</v>
      </c>
      <c r="D166" s="430">
        <v>16892.5</v>
      </c>
      <c r="E166" s="430">
        <v>33261.5</v>
      </c>
      <c r="F166" s="430">
        <v>16369</v>
      </c>
      <c r="G166" s="430">
        <v>16892.5</v>
      </c>
      <c r="H166" s="430">
        <v>17365</v>
      </c>
      <c r="I166" s="430">
        <v>41134.800000000003</v>
      </c>
      <c r="J166" s="430">
        <v>75392.3</v>
      </c>
      <c r="K166" s="430">
        <v>34257</v>
      </c>
      <c r="L166" s="430">
        <v>41135.300000000003</v>
      </c>
      <c r="M166" s="430">
        <v>18006.25</v>
      </c>
      <c r="N166" s="430">
        <v>59141.55</v>
      </c>
      <c r="O166" s="430">
        <v>41135</v>
      </c>
      <c r="P166" s="430">
        <v>18006.550000000003</v>
      </c>
      <c r="Q166" s="430" t="e">
        <v>#REF!</v>
      </c>
      <c r="R166" s="430">
        <v>36687.800000000003</v>
      </c>
      <c r="S166" s="430">
        <v>36687</v>
      </c>
      <c r="T166" s="430">
        <v>0.80000000000291038</v>
      </c>
      <c r="U166" s="430">
        <v>18520.939999999999</v>
      </c>
      <c r="V166" s="430">
        <v>18521.740000000002</v>
      </c>
      <c r="W166" s="430">
        <v>0</v>
      </c>
      <c r="X166" s="430">
        <v>18521.740000000002</v>
      </c>
      <c r="Y166" s="430">
        <v>18807.810000000001</v>
      </c>
      <c r="Z166" s="430">
        <v>37329.550000000003</v>
      </c>
      <c r="AB166" s="430"/>
    </row>
    <row r="167" spans="1:28" x14ac:dyDescent="0.25">
      <c r="A167" t="s">
        <v>522</v>
      </c>
      <c r="B167" t="s">
        <v>913</v>
      </c>
      <c r="C167" s="430">
        <v>105469</v>
      </c>
      <c r="D167" s="430">
        <v>15508.75</v>
      </c>
      <c r="E167" s="430">
        <v>120977.75</v>
      </c>
      <c r="F167" s="430">
        <v>120977.75</v>
      </c>
      <c r="G167" s="430">
        <v>0</v>
      </c>
      <c r="H167" s="430">
        <v>15441.25</v>
      </c>
      <c r="I167" s="430">
        <v>35645.699999999997</v>
      </c>
      <c r="J167" s="430">
        <v>51086.95</v>
      </c>
      <c r="K167" s="430">
        <v>0</v>
      </c>
      <c r="L167" s="430">
        <v>51086.95</v>
      </c>
      <c r="M167" s="430">
        <v>15407.5</v>
      </c>
      <c r="N167" s="430">
        <v>66494.45</v>
      </c>
      <c r="O167" s="430">
        <v>15973</v>
      </c>
      <c r="P167" s="430">
        <v>50521.45</v>
      </c>
      <c r="Q167" s="430" t="e">
        <v>#REF!</v>
      </c>
      <c r="R167" s="430">
        <v>66063.95</v>
      </c>
      <c r="S167" s="430">
        <v>50165</v>
      </c>
      <c r="T167" s="430">
        <v>15898.949999999997</v>
      </c>
      <c r="U167" s="430">
        <v>15829.38</v>
      </c>
      <c r="V167" s="430">
        <v>31728.329999999994</v>
      </c>
      <c r="W167" s="430">
        <v>0</v>
      </c>
      <c r="X167" s="430">
        <v>31728.329999999994</v>
      </c>
      <c r="Y167" s="430">
        <v>16318.75</v>
      </c>
      <c r="Z167" s="430">
        <v>48047.079999999994</v>
      </c>
      <c r="AB167" s="430"/>
    </row>
    <row r="168" spans="1:28" x14ac:dyDescent="0.25">
      <c r="A168" t="s">
        <v>530</v>
      </c>
      <c r="B168" t="s">
        <v>912</v>
      </c>
      <c r="C168" s="430">
        <v>-0.16999999999825377</v>
      </c>
      <c r="D168" s="430">
        <v>12353.13</v>
      </c>
      <c r="E168" s="430">
        <v>12352.960000000001</v>
      </c>
      <c r="F168" s="430">
        <v>12352.96</v>
      </c>
      <c r="G168" s="430">
        <v>0</v>
      </c>
      <c r="H168" s="430">
        <v>13112.5</v>
      </c>
      <c r="I168" s="430">
        <v>29001</v>
      </c>
      <c r="J168" s="430">
        <v>42113.5</v>
      </c>
      <c r="K168" s="430">
        <v>12505</v>
      </c>
      <c r="L168" s="430">
        <v>29608.5</v>
      </c>
      <c r="M168" s="430">
        <v>14057.5</v>
      </c>
      <c r="N168" s="430">
        <v>43666</v>
      </c>
      <c r="O168" s="430">
        <v>37146</v>
      </c>
      <c r="P168" s="430">
        <v>6520</v>
      </c>
      <c r="Q168" s="430" t="e">
        <v>#REF!</v>
      </c>
      <c r="R168" s="430">
        <v>21471.879999999997</v>
      </c>
      <c r="S168" s="430">
        <v>21472</v>
      </c>
      <c r="T168" s="430">
        <v>-0.12000000000261934</v>
      </c>
      <c r="U168" s="430">
        <v>14816.88</v>
      </c>
      <c r="V168" s="430">
        <v>14816.759999999997</v>
      </c>
      <c r="W168" s="430">
        <v>0</v>
      </c>
      <c r="X168" s="430">
        <v>14816.759999999997</v>
      </c>
      <c r="Y168" s="430">
        <v>0</v>
      </c>
      <c r="Z168" s="430">
        <v>14816.759999999997</v>
      </c>
      <c r="AB168" s="430"/>
    </row>
    <row r="169" spans="1:28" x14ac:dyDescent="0.25">
      <c r="A169" t="s">
        <v>532</v>
      </c>
      <c r="B169" t="s">
        <v>911</v>
      </c>
      <c r="C169" s="430">
        <v>1254</v>
      </c>
      <c r="D169" s="430">
        <v>13483.75</v>
      </c>
      <c r="E169" s="430">
        <v>14737.75</v>
      </c>
      <c r="F169" s="430">
        <v>13885</v>
      </c>
      <c r="G169" s="430">
        <v>852.75</v>
      </c>
      <c r="H169" s="430">
        <v>13264.38</v>
      </c>
      <c r="I169" s="430">
        <v>29434.35</v>
      </c>
      <c r="J169" s="430">
        <v>43551.479999999996</v>
      </c>
      <c r="K169" s="430">
        <v>11445</v>
      </c>
      <c r="L169" s="430">
        <v>32106.479999999996</v>
      </c>
      <c r="M169" s="430">
        <v>13787.5</v>
      </c>
      <c r="N169" s="430">
        <v>45893.979999999996</v>
      </c>
      <c r="O169" s="430">
        <v>42396</v>
      </c>
      <c r="P169" s="430">
        <v>3497.9799999999959</v>
      </c>
      <c r="Q169" s="430" t="e">
        <v>#REF!</v>
      </c>
      <c r="R169" s="430">
        <v>17757.979999999996</v>
      </c>
      <c r="S169" s="430">
        <v>8131.2</v>
      </c>
      <c r="T169" s="430">
        <v>9626.7799999999952</v>
      </c>
      <c r="U169" s="430">
        <v>14918.12</v>
      </c>
      <c r="V169" s="430">
        <v>24544.899999999994</v>
      </c>
      <c r="W169" s="430">
        <v>24544.9</v>
      </c>
      <c r="X169" s="430">
        <v>0</v>
      </c>
      <c r="Y169" s="430">
        <v>0</v>
      </c>
      <c r="Z169" s="430">
        <v>0</v>
      </c>
      <c r="AB169" s="430"/>
    </row>
    <row r="170" spans="1:28" x14ac:dyDescent="0.25">
      <c r="A170" t="s">
        <v>534</v>
      </c>
      <c r="B170" t="s">
        <v>910</v>
      </c>
      <c r="C170" s="430">
        <v>0</v>
      </c>
      <c r="D170" s="430">
        <v>14378.13</v>
      </c>
      <c r="E170" s="430">
        <v>14378.13</v>
      </c>
      <c r="F170" s="430"/>
      <c r="G170" s="430">
        <v>14378.13</v>
      </c>
      <c r="H170" s="430">
        <v>14462.5</v>
      </c>
      <c r="I170" s="430">
        <v>32853</v>
      </c>
      <c r="J170" s="430">
        <v>61693.63</v>
      </c>
      <c r="K170" s="430">
        <v>14378</v>
      </c>
      <c r="L170" s="430">
        <v>47315.63</v>
      </c>
      <c r="M170" s="430">
        <v>14800</v>
      </c>
      <c r="N170" s="430">
        <v>62115.63</v>
      </c>
      <c r="O170" s="430">
        <v>62115</v>
      </c>
      <c r="P170" s="430">
        <v>0.62999999999738066</v>
      </c>
      <c r="Q170" s="430" t="e">
        <v>#REF!</v>
      </c>
      <c r="R170" s="430">
        <v>14918.749999999998</v>
      </c>
      <c r="S170" s="430">
        <v>14243</v>
      </c>
      <c r="T170" s="430">
        <v>675.74999999999818</v>
      </c>
      <c r="U170" s="430">
        <v>14842.19</v>
      </c>
      <c r="V170" s="430">
        <v>15517.939999999999</v>
      </c>
      <c r="W170" s="430">
        <v>15039</v>
      </c>
      <c r="X170" s="430">
        <v>478.93999999999869</v>
      </c>
      <c r="Y170" s="430">
        <v>14985.62</v>
      </c>
      <c r="Z170" s="430">
        <v>15464.56</v>
      </c>
      <c r="AB170" s="430"/>
    </row>
    <row r="171" spans="1:28" ht="13.8" x14ac:dyDescent="0.3">
      <c r="A171" t="s">
        <v>909</v>
      </c>
      <c r="B171" s="442" t="s">
        <v>908</v>
      </c>
      <c r="C171" s="430">
        <v>22643</v>
      </c>
      <c r="D171" s="430">
        <v>22225</v>
      </c>
      <c r="E171" s="430">
        <v>44868</v>
      </c>
      <c r="F171" s="430">
        <v>24468</v>
      </c>
      <c r="G171" s="430">
        <v>20400</v>
      </c>
      <c r="H171" s="430">
        <v>20706.25</v>
      </c>
      <c r="I171" s="430">
        <v>50668.5</v>
      </c>
      <c r="J171" s="430">
        <v>91774.75</v>
      </c>
      <c r="K171" s="430">
        <v>41106</v>
      </c>
      <c r="L171" s="430">
        <v>50668.75</v>
      </c>
      <c r="M171" s="430">
        <v>20605</v>
      </c>
      <c r="N171" s="430">
        <v>71273.75</v>
      </c>
      <c r="O171" s="430">
        <v>7885.22</v>
      </c>
      <c r="P171" s="430">
        <v>63388.53</v>
      </c>
      <c r="Q171" s="430"/>
      <c r="R171" s="430">
        <v>63388.53</v>
      </c>
      <c r="S171" s="430">
        <v>0</v>
      </c>
      <c r="T171" s="430">
        <v>63388.53</v>
      </c>
      <c r="U171" s="430"/>
      <c r="V171" s="430">
        <v>63388.53</v>
      </c>
      <c r="W171" s="430">
        <v>0</v>
      </c>
      <c r="X171" s="430">
        <v>63388.53</v>
      </c>
      <c r="Y171" s="430">
        <v>0</v>
      </c>
      <c r="Z171" s="430">
        <v>63388.53</v>
      </c>
      <c r="AB171" s="430"/>
    </row>
    <row r="172" spans="1:28" x14ac:dyDescent="0.25">
      <c r="A172" t="s">
        <v>516</v>
      </c>
      <c r="B172" t="s">
        <v>907</v>
      </c>
      <c r="C172" s="430">
        <v>70718.73</v>
      </c>
      <c r="D172" s="430">
        <v>15767.5</v>
      </c>
      <c r="E172" s="430">
        <v>86486.23</v>
      </c>
      <c r="F172" s="430"/>
      <c r="G172" s="430">
        <v>86486.23</v>
      </c>
      <c r="H172" s="430">
        <v>15688.75</v>
      </c>
      <c r="I172" s="430">
        <v>36351.9</v>
      </c>
      <c r="J172" s="430">
        <v>138526.88</v>
      </c>
      <c r="K172" s="430">
        <v>51762.22</v>
      </c>
      <c r="L172" s="430">
        <v>86764.66</v>
      </c>
      <c r="M172" s="430">
        <v>14890</v>
      </c>
      <c r="N172" s="430">
        <v>101654.66</v>
      </c>
      <c r="O172" s="433">
        <v>84744.27</v>
      </c>
      <c r="P172" s="430">
        <v>16910.39</v>
      </c>
      <c r="Q172" s="430" t="e">
        <v>#REF!</v>
      </c>
      <c r="R172" s="430">
        <v>31507.89</v>
      </c>
      <c r="S172" s="430">
        <v>13852.85</v>
      </c>
      <c r="T172" s="430">
        <v>17655.04</v>
      </c>
      <c r="U172" s="430">
        <v>15044.69</v>
      </c>
      <c r="V172" s="430">
        <v>32699.730000000003</v>
      </c>
      <c r="W172" s="430">
        <v>14782.130000000001</v>
      </c>
      <c r="X172" s="430">
        <v>17917.600000000002</v>
      </c>
      <c r="Y172" s="430">
        <v>16200.62</v>
      </c>
      <c r="Z172" s="430">
        <v>34118.22</v>
      </c>
      <c r="AB172" s="430"/>
    </row>
    <row r="173" spans="1:28" ht="13.8" thickBot="1" x14ac:dyDescent="0.3">
      <c r="A173" t="s">
        <v>528</v>
      </c>
      <c r="B173" s="42" t="s">
        <v>906</v>
      </c>
      <c r="C173" s="430">
        <v>0</v>
      </c>
      <c r="D173" s="430">
        <v>34825</v>
      </c>
      <c r="E173" s="430">
        <v>34825</v>
      </c>
      <c r="F173" s="430">
        <v>34825</v>
      </c>
      <c r="G173" s="430">
        <v>0</v>
      </c>
      <c r="H173" s="430">
        <v>35224.379999999997</v>
      </c>
      <c r="I173" s="430">
        <v>92093.55</v>
      </c>
      <c r="J173" s="430">
        <v>127317.93</v>
      </c>
      <c r="K173" s="430">
        <v>34825</v>
      </c>
      <c r="L173" s="430">
        <v>92492.93</v>
      </c>
      <c r="M173" s="430">
        <v>35083.75</v>
      </c>
      <c r="N173" s="430">
        <v>127576.68</v>
      </c>
      <c r="O173" s="430">
        <v>127576</v>
      </c>
      <c r="P173" s="430">
        <v>0.67999999999301508</v>
      </c>
      <c r="Q173" s="430" t="e">
        <v>#REF!</v>
      </c>
      <c r="R173" s="430">
        <v>36164.429999999993</v>
      </c>
      <c r="S173" s="430">
        <v>0</v>
      </c>
      <c r="T173" s="430">
        <v>36164.429999999993</v>
      </c>
      <c r="U173" s="430">
        <v>36374.69</v>
      </c>
      <c r="V173" s="430">
        <v>72539.12</v>
      </c>
      <c r="W173" s="430">
        <v>0</v>
      </c>
      <c r="X173" s="430">
        <v>72539.12</v>
      </c>
      <c r="Y173" s="430">
        <v>36352.19</v>
      </c>
      <c r="Z173" s="430">
        <v>108891.31</v>
      </c>
      <c r="AB173" s="430"/>
    </row>
    <row r="174" spans="1:28" ht="15" thickBot="1" x14ac:dyDescent="0.35">
      <c r="A174" s="436"/>
      <c r="B174" s="437" t="s">
        <v>885</v>
      </c>
      <c r="C174" s="438">
        <v>244450.64999999997</v>
      </c>
      <c r="D174" s="438">
        <v>267568.15000000002</v>
      </c>
      <c r="E174" s="438">
        <v>512018.8</v>
      </c>
      <c r="F174" s="438">
        <v>295229.69999999995</v>
      </c>
      <c r="G174" s="438">
        <v>216789.09999999998</v>
      </c>
      <c r="H174" s="438">
        <v>268113.78000000003</v>
      </c>
      <c r="I174" s="438">
        <v>638817.9</v>
      </c>
      <c r="J174" s="438">
        <v>1123720.78</v>
      </c>
      <c r="K174" s="438">
        <v>256511.51</v>
      </c>
      <c r="L174" s="438">
        <v>867209.27</v>
      </c>
      <c r="M174" s="438">
        <v>271702.52</v>
      </c>
      <c r="N174" s="438">
        <v>1138911.79</v>
      </c>
      <c r="O174" s="438">
        <v>755056.04</v>
      </c>
      <c r="P174" s="438">
        <v>383855.75000000006</v>
      </c>
      <c r="Q174" s="438" t="e">
        <v>#REF!</v>
      </c>
      <c r="R174" s="438">
        <v>657790.74</v>
      </c>
      <c r="S174" s="438">
        <v>317127.55</v>
      </c>
      <c r="T174" s="438">
        <v>340663.19</v>
      </c>
      <c r="U174" s="438">
        <v>282209.39</v>
      </c>
      <c r="V174" s="438">
        <v>622872.57999999996</v>
      </c>
      <c r="W174" s="438">
        <v>164940.62000000002</v>
      </c>
      <c r="X174" s="438">
        <v>457931.95999999996</v>
      </c>
      <c r="Y174" s="438">
        <v>227144.37</v>
      </c>
      <c r="Z174" s="438">
        <v>685076.33000000007</v>
      </c>
      <c r="AB174" s="430"/>
    </row>
    <row r="175" spans="1:28" x14ac:dyDescent="0.25">
      <c r="A175" t="s">
        <v>536</v>
      </c>
      <c r="B175" t="s">
        <v>905</v>
      </c>
      <c r="C175" s="430">
        <v>8042.25</v>
      </c>
      <c r="D175" s="430">
        <v>7408.75</v>
      </c>
      <c r="E175" s="430">
        <v>15451</v>
      </c>
      <c r="F175" s="430"/>
      <c r="G175" s="430">
        <v>15451</v>
      </c>
      <c r="H175" s="430">
        <v>7915</v>
      </c>
      <c r="I175" s="430">
        <v>14170.8</v>
      </c>
      <c r="J175" s="430">
        <v>37536.800000000003</v>
      </c>
      <c r="K175" s="430">
        <v>8448</v>
      </c>
      <c r="L175" s="430">
        <v>29088.800000000003</v>
      </c>
      <c r="M175" s="430">
        <v>8286.25</v>
      </c>
      <c r="N175" s="430">
        <v>37375.050000000003</v>
      </c>
      <c r="O175" s="430">
        <v>33202.270000000004</v>
      </c>
      <c r="P175" s="430">
        <v>4172.7799999999988</v>
      </c>
      <c r="Q175" s="430" t="e">
        <v>#REF!</v>
      </c>
      <c r="R175" s="430">
        <v>12594.029999999999</v>
      </c>
      <c r="S175" s="430">
        <v>4718.76</v>
      </c>
      <c r="T175" s="430">
        <v>7875.2699999999986</v>
      </c>
      <c r="U175" s="430">
        <v>11365.94</v>
      </c>
      <c r="V175" s="430">
        <v>19241.21</v>
      </c>
      <c r="W175" s="430">
        <v>-4.5474735088646412E-13</v>
      </c>
      <c r="X175" s="430">
        <v>19241.21</v>
      </c>
      <c r="Y175" s="430">
        <v>12100</v>
      </c>
      <c r="Z175" s="430">
        <v>31341.21</v>
      </c>
      <c r="AB175" s="430"/>
    </row>
    <row r="176" spans="1:28" x14ac:dyDescent="0.25">
      <c r="A176" t="s">
        <v>539</v>
      </c>
      <c r="B176" t="s">
        <v>904</v>
      </c>
      <c r="C176" s="430">
        <v>9486.4199999999983</v>
      </c>
      <c r="D176" s="430">
        <v>5991.25</v>
      </c>
      <c r="E176" s="430">
        <v>15477.669999999998</v>
      </c>
      <c r="F176" s="430">
        <v>374.98</v>
      </c>
      <c r="G176" s="430">
        <v>15102.689999999999</v>
      </c>
      <c r="H176" s="430">
        <v>6308.5</v>
      </c>
      <c r="I176" s="430">
        <v>9586.92</v>
      </c>
      <c r="J176" s="430">
        <v>30998.11</v>
      </c>
      <c r="K176" s="430">
        <v>191.54</v>
      </c>
      <c r="L176" s="430">
        <v>30806.57</v>
      </c>
      <c r="M176" s="430">
        <v>6214</v>
      </c>
      <c r="N176" s="430">
        <v>37020.57</v>
      </c>
      <c r="O176" s="430">
        <v>15174.54</v>
      </c>
      <c r="P176" s="430">
        <v>21846.03</v>
      </c>
      <c r="Q176" s="430" t="e">
        <v>#REF!</v>
      </c>
      <c r="R176" s="430">
        <v>28397.53</v>
      </c>
      <c r="S176" s="430">
        <v>2970.7</v>
      </c>
      <c r="T176" s="430">
        <v>25426.829999999998</v>
      </c>
      <c r="U176" s="430">
        <v>8181.62</v>
      </c>
      <c r="V176" s="430">
        <v>33608.449999999997</v>
      </c>
      <c r="W176" s="430">
        <v>10457.790000000001</v>
      </c>
      <c r="X176" s="430">
        <v>23150.659999999996</v>
      </c>
      <c r="Y176" s="430">
        <v>7928.5</v>
      </c>
      <c r="Z176" s="430">
        <v>31079.159999999996</v>
      </c>
      <c r="AB176" s="430"/>
    </row>
    <row r="177" spans="1:28" x14ac:dyDescent="0.25">
      <c r="A177" t="s">
        <v>541</v>
      </c>
      <c r="B177" t="s">
        <v>903</v>
      </c>
      <c r="C177" s="430">
        <v>5958</v>
      </c>
      <c r="D177" s="430">
        <v>6092.5</v>
      </c>
      <c r="E177" s="430">
        <v>12050.5</v>
      </c>
      <c r="F177" s="430">
        <v>11428.849999999999</v>
      </c>
      <c r="G177" s="430">
        <v>621.65000000000146</v>
      </c>
      <c r="H177" s="430">
        <v>6092.5</v>
      </c>
      <c r="I177" s="430">
        <v>8970.6</v>
      </c>
      <c r="J177" s="430">
        <v>15684.750000000002</v>
      </c>
      <c r="K177" s="430">
        <v>-4692.8500000000004</v>
      </c>
      <c r="L177" s="430">
        <v>20377.600000000002</v>
      </c>
      <c r="M177" s="430">
        <v>6092.5</v>
      </c>
      <c r="N177" s="430">
        <v>26470.100000000002</v>
      </c>
      <c r="O177" s="430">
        <v>20833.36</v>
      </c>
      <c r="P177" s="430">
        <v>5636.7400000000016</v>
      </c>
      <c r="Q177" s="430" t="e">
        <v>#REF!</v>
      </c>
      <c r="R177" s="430">
        <v>11729.240000000002</v>
      </c>
      <c r="S177" s="430">
        <v>3365</v>
      </c>
      <c r="T177" s="430">
        <v>8364.2400000000016</v>
      </c>
      <c r="U177" s="430">
        <v>7037.5</v>
      </c>
      <c r="V177" s="430">
        <v>15401.740000000002</v>
      </c>
      <c r="W177" s="430">
        <v>-1.8189894035458565E-12</v>
      </c>
      <c r="X177" s="430">
        <v>15401.740000000003</v>
      </c>
      <c r="Y177" s="430">
        <v>7645</v>
      </c>
      <c r="Z177" s="430">
        <v>23046.740000000005</v>
      </c>
      <c r="AB177" s="430"/>
    </row>
    <row r="178" spans="1:28" x14ac:dyDescent="0.25">
      <c r="A178" t="s">
        <v>543</v>
      </c>
      <c r="B178" t="s">
        <v>902</v>
      </c>
      <c r="C178" s="430">
        <v>0</v>
      </c>
      <c r="D178" s="430">
        <v>6700</v>
      </c>
      <c r="E178" s="430">
        <v>6700</v>
      </c>
      <c r="F178" s="430"/>
      <c r="G178" s="430">
        <v>6700</v>
      </c>
      <c r="H178" s="430">
        <v>7429</v>
      </c>
      <c r="I178" s="430">
        <v>12784.08</v>
      </c>
      <c r="J178" s="430">
        <v>26913.08</v>
      </c>
      <c r="K178" s="430"/>
      <c r="L178" s="430">
        <v>26913.08</v>
      </c>
      <c r="M178" s="430">
        <v>7746.25</v>
      </c>
      <c r="N178" s="430">
        <v>34659.33</v>
      </c>
      <c r="O178" s="430">
        <v>0</v>
      </c>
      <c r="P178" s="430">
        <v>34659.33</v>
      </c>
      <c r="Q178" s="430" t="e">
        <v>#REF!</v>
      </c>
      <c r="R178" s="430">
        <v>42439.33</v>
      </c>
      <c r="S178" s="430">
        <v>0</v>
      </c>
      <c r="T178" s="430">
        <v>42439.33</v>
      </c>
      <c r="U178" s="430">
        <v>9619.3799999999992</v>
      </c>
      <c r="V178" s="430">
        <v>52058.71</v>
      </c>
      <c r="W178" s="430">
        <v>0</v>
      </c>
      <c r="X178" s="430">
        <v>52058.71</v>
      </c>
      <c r="Y178" s="430">
        <v>9568.75</v>
      </c>
      <c r="Z178" s="430">
        <v>61627.46</v>
      </c>
      <c r="AB178" s="430"/>
    </row>
    <row r="179" spans="1:28" x14ac:dyDescent="0.25">
      <c r="A179" t="s">
        <v>545</v>
      </c>
      <c r="B179" t="s">
        <v>901</v>
      </c>
      <c r="C179" s="430">
        <v>16583.150000000001</v>
      </c>
      <c r="D179" s="430">
        <v>8657.5</v>
      </c>
      <c r="E179" s="430">
        <v>25240.65</v>
      </c>
      <c r="F179" s="430">
        <v>13255.27</v>
      </c>
      <c r="G179" s="430">
        <v>11985.380000000001</v>
      </c>
      <c r="H179" s="430">
        <v>9130</v>
      </c>
      <c r="I179" s="430">
        <v>17637.599999999999</v>
      </c>
      <c r="J179" s="430">
        <v>38752.979999999996</v>
      </c>
      <c r="K179" s="430">
        <v>4688.25</v>
      </c>
      <c r="L179" s="430">
        <v>34064.729999999996</v>
      </c>
      <c r="M179" s="430">
        <v>9096.25</v>
      </c>
      <c r="N179" s="430">
        <v>43160.979999999996</v>
      </c>
      <c r="O179" s="430">
        <v>4998.2299999999996</v>
      </c>
      <c r="P179" s="430">
        <v>38162.75</v>
      </c>
      <c r="Q179" s="430" t="e">
        <v>#REF!</v>
      </c>
      <c r="R179" s="430">
        <v>47225.25</v>
      </c>
      <c r="S179" s="430">
        <v>0</v>
      </c>
      <c r="T179" s="430">
        <v>47225.25</v>
      </c>
      <c r="U179" s="430">
        <v>11492.5</v>
      </c>
      <c r="V179" s="430">
        <v>58717.75</v>
      </c>
      <c r="W179" s="430">
        <v>12150</v>
      </c>
      <c r="X179" s="430">
        <v>46567.75</v>
      </c>
      <c r="Y179" s="430">
        <v>11593.75</v>
      </c>
      <c r="Z179" s="430">
        <v>58161.5</v>
      </c>
      <c r="AB179" s="430"/>
    </row>
    <row r="180" spans="1:28" x14ac:dyDescent="0.25">
      <c r="A180" t="s">
        <v>547</v>
      </c>
      <c r="B180" t="s">
        <v>900</v>
      </c>
      <c r="C180" s="430">
        <v>22161</v>
      </c>
      <c r="D180" s="430">
        <v>6970</v>
      </c>
      <c r="E180" s="430">
        <v>29131</v>
      </c>
      <c r="F180" s="430">
        <v>18887.489999999998</v>
      </c>
      <c r="G180" s="430">
        <v>10243.510000000002</v>
      </c>
      <c r="H180" s="430">
        <v>7240</v>
      </c>
      <c r="I180" s="430">
        <v>12244.8</v>
      </c>
      <c r="J180" s="430">
        <v>29728.31</v>
      </c>
      <c r="K180" s="430">
        <v>0</v>
      </c>
      <c r="L180" s="430">
        <v>29728.31</v>
      </c>
      <c r="M180" s="430">
        <v>7341.25</v>
      </c>
      <c r="N180" s="430">
        <v>37069.56</v>
      </c>
      <c r="O180" s="430">
        <v>32299.65</v>
      </c>
      <c r="P180" s="430">
        <v>4769.9099999999962</v>
      </c>
      <c r="Q180" s="430" t="e">
        <v>#REF!</v>
      </c>
      <c r="R180" s="430">
        <v>12212.409999999996</v>
      </c>
      <c r="S180" s="430">
        <v>12213</v>
      </c>
      <c r="T180" s="430">
        <v>-0.5900000000037835</v>
      </c>
      <c r="U180" s="430">
        <v>9113.1200000000008</v>
      </c>
      <c r="V180" s="430">
        <v>9112.529999999997</v>
      </c>
      <c r="W180" s="430">
        <v>6784.83</v>
      </c>
      <c r="X180" s="430">
        <v>2327.6999999999971</v>
      </c>
      <c r="Y180" s="430">
        <v>9467.5</v>
      </c>
      <c r="Z180" s="430">
        <v>11795.199999999997</v>
      </c>
      <c r="AB180" s="430"/>
    </row>
    <row r="181" spans="1:28" x14ac:dyDescent="0.25">
      <c r="A181" t="s">
        <v>549</v>
      </c>
      <c r="B181" t="s">
        <v>899</v>
      </c>
      <c r="C181" s="430">
        <v>5288.2999999999993</v>
      </c>
      <c r="D181" s="430">
        <v>6835</v>
      </c>
      <c r="E181" s="430">
        <v>12123.3</v>
      </c>
      <c r="F181" s="430">
        <v>11066</v>
      </c>
      <c r="G181" s="430">
        <v>1057.2999999999993</v>
      </c>
      <c r="H181" s="430">
        <v>7780</v>
      </c>
      <c r="I181" s="430">
        <v>13785.6</v>
      </c>
      <c r="J181" s="430">
        <v>22622.9</v>
      </c>
      <c r="K181" s="430">
        <v>5347.18</v>
      </c>
      <c r="L181" s="430">
        <v>17275.72</v>
      </c>
      <c r="M181" s="430">
        <v>7948.75</v>
      </c>
      <c r="N181" s="430">
        <v>25224.47</v>
      </c>
      <c r="O181" s="430">
        <v>25224.47</v>
      </c>
      <c r="P181" s="430">
        <v>0</v>
      </c>
      <c r="Q181" s="430" t="e">
        <v>#REF!</v>
      </c>
      <c r="R181" s="430">
        <v>8117.5</v>
      </c>
      <c r="S181" s="430">
        <v>0</v>
      </c>
      <c r="T181" s="430">
        <v>8117.5</v>
      </c>
      <c r="U181" s="430">
        <v>10328.120000000001</v>
      </c>
      <c r="V181" s="430">
        <v>18445.620000000003</v>
      </c>
      <c r="W181" s="430">
        <v>5857</v>
      </c>
      <c r="X181" s="430">
        <v>12588.620000000003</v>
      </c>
      <c r="Y181" s="430">
        <v>10125.620000000001</v>
      </c>
      <c r="Z181" s="430">
        <v>22714.240000000005</v>
      </c>
      <c r="AB181" s="430"/>
    </row>
    <row r="182" spans="1:28" x14ac:dyDescent="0.25">
      <c r="A182" t="s">
        <v>551</v>
      </c>
      <c r="B182" t="s">
        <v>898</v>
      </c>
      <c r="C182" s="430">
        <v>8926.2999999999993</v>
      </c>
      <c r="D182" s="430">
        <v>8050</v>
      </c>
      <c r="E182" s="430">
        <v>16976.3</v>
      </c>
      <c r="F182" s="430">
        <v>6921.489999999998</v>
      </c>
      <c r="G182" s="430">
        <v>10054.810000000001</v>
      </c>
      <c r="H182" s="430">
        <v>8083.75</v>
      </c>
      <c r="I182" s="430">
        <v>14652.3</v>
      </c>
      <c r="J182" s="430">
        <v>32790.86</v>
      </c>
      <c r="K182" s="430">
        <v>14120</v>
      </c>
      <c r="L182" s="430">
        <v>18670.86</v>
      </c>
      <c r="M182" s="430">
        <v>8455</v>
      </c>
      <c r="N182" s="430">
        <v>27125.86</v>
      </c>
      <c r="O182" s="430">
        <v>27125.859999999997</v>
      </c>
      <c r="P182" s="430">
        <v>0</v>
      </c>
      <c r="Q182" s="430" t="e">
        <v>#REF!</v>
      </c>
      <c r="R182" s="430">
        <v>8522.5</v>
      </c>
      <c r="S182" s="430">
        <v>0</v>
      </c>
      <c r="T182" s="430">
        <v>8522.5</v>
      </c>
      <c r="U182" s="430">
        <v>9923.1200000000008</v>
      </c>
      <c r="V182" s="430">
        <v>18445.620000000003</v>
      </c>
      <c r="W182" s="430">
        <v>10716.4</v>
      </c>
      <c r="X182" s="430">
        <v>7729.220000000003</v>
      </c>
      <c r="Y182" s="430">
        <v>0</v>
      </c>
      <c r="Z182" s="430">
        <v>7729.220000000003</v>
      </c>
      <c r="AB182" s="430"/>
    </row>
    <row r="183" spans="1:28" x14ac:dyDescent="0.25">
      <c r="A183" t="s">
        <v>555</v>
      </c>
      <c r="B183" t="s">
        <v>897</v>
      </c>
      <c r="C183" s="430">
        <v>37541.129999999997</v>
      </c>
      <c r="D183" s="430">
        <v>7638.25</v>
      </c>
      <c r="E183" s="430">
        <v>45179.38</v>
      </c>
      <c r="F183" s="430">
        <v>11115.96</v>
      </c>
      <c r="G183" s="430">
        <v>34063.42</v>
      </c>
      <c r="H183" s="430">
        <v>8083.75</v>
      </c>
      <c r="I183" s="430">
        <v>14652.3</v>
      </c>
      <c r="J183" s="430">
        <v>56799.47</v>
      </c>
      <c r="K183" s="430">
        <v>6981</v>
      </c>
      <c r="L183" s="430">
        <v>49818.47</v>
      </c>
      <c r="M183" s="430">
        <v>8036.5</v>
      </c>
      <c r="N183" s="430">
        <v>57854.97</v>
      </c>
      <c r="O183" s="433">
        <v>3888</v>
      </c>
      <c r="P183" s="430">
        <v>53966.97</v>
      </c>
      <c r="Q183" s="430" t="e">
        <v>#REF!</v>
      </c>
      <c r="R183" s="430">
        <v>61949.47</v>
      </c>
      <c r="S183" s="430">
        <v>0</v>
      </c>
      <c r="T183" s="430">
        <v>61949.47</v>
      </c>
      <c r="U183" s="430">
        <v>9720.6200000000008</v>
      </c>
      <c r="V183" s="430">
        <v>71670.09</v>
      </c>
      <c r="W183" s="430">
        <v>0</v>
      </c>
      <c r="X183" s="430">
        <v>71670.09</v>
      </c>
      <c r="Y183" s="430">
        <v>9416.8799999999992</v>
      </c>
      <c r="Z183" s="430">
        <v>81086.97</v>
      </c>
      <c r="AB183" s="430"/>
    </row>
    <row r="184" spans="1:28" x14ac:dyDescent="0.25">
      <c r="A184" t="s">
        <v>557</v>
      </c>
      <c r="B184" t="s">
        <v>896</v>
      </c>
      <c r="C184" s="430">
        <v>2179.3499999999985</v>
      </c>
      <c r="D184" s="430">
        <v>6970</v>
      </c>
      <c r="E184" s="430">
        <v>9149.3499999999985</v>
      </c>
      <c r="F184" s="430">
        <v>8508.24</v>
      </c>
      <c r="G184" s="430">
        <v>641.10999999999876</v>
      </c>
      <c r="H184" s="430">
        <v>6936.25</v>
      </c>
      <c r="I184" s="430">
        <v>11378.1</v>
      </c>
      <c r="J184" s="430">
        <v>18955.46</v>
      </c>
      <c r="K184" s="430">
        <v>18955</v>
      </c>
      <c r="L184" s="430">
        <v>0.45999999999912689</v>
      </c>
      <c r="M184" s="430">
        <v>7847.5</v>
      </c>
      <c r="N184" s="430">
        <v>7847.9599999999991</v>
      </c>
      <c r="O184" s="430">
        <v>3480</v>
      </c>
      <c r="P184" s="430">
        <v>4367.9599999999991</v>
      </c>
      <c r="Q184" s="430" t="e">
        <v>#REF!</v>
      </c>
      <c r="R184" s="430">
        <v>12316.71</v>
      </c>
      <c r="S184" s="430">
        <v>0</v>
      </c>
      <c r="T184" s="430">
        <v>12316.71</v>
      </c>
      <c r="U184" s="430">
        <v>10024.379999999999</v>
      </c>
      <c r="V184" s="430">
        <v>22341.089999999997</v>
      </c>
      <c r="W184" s="430">
        <v>0</v>
      </c>
      <c r="X184" s="430">
        <v>22341.089999999997</v>
      </c>
      <c r="Y184" s="430">
        <v>10075</v>
      </c>
      <c r="Z184" s="430">
        <v>32416.089999999997</v>
      </c>
      <c r="AB184" s="430"/>
    </row>
    <row r="185" spans="1:28" x14ac:dyDescent="0.25">
      <c r="A185" t="s">
        <v>559</v>
      </c>
      <c r="B185" t="s">
        <v>895</v>
      </c>
      <c r="C185" s="430">
        <v>0.25</v>
      </c>
      <c r="D185" s="430">
        <v>5856.25</v>
      </c>
      <c r="E185" s="430">
        <v>5856.5</v>
      </c>
      <c r="F185" s="430"/>
      <c r="G185" s="430">
        <v>5856.5</v>
      </c>
      <c r="H185" s="430">
        <v>5842.75</v>
      </c>
      <c r="I185" s="430">
        <v>8257.98</v>
      </c>
      <c r="J185" s="430">
        <v>19957.23</v>
      </c>
      <c r="K185" s="430"/>
      <c r="L185" s="430">
        <v>19957.23</v>
      </c>
      <c r="M185" s="430">
        <v>6058.75</v>
      </c>
      <c r="N185" s="430">
        <v>26015.98</v>
      </c>
      <c r="O185" s="430">
        <v>26015.98</v>
      </c>
      <c r="P185" s="430">
        <v>0</v>
      </c>
      <c r="Q185" s="430" t="e">
        <v>#REF!</v>
      </c>
      <c r="R185" s="430">
        <v>5998</v>
      </c>
      <c r="S185" s="430">
        <v>5998</v>
      </c>
      <c r="T185" s="430">
        <v>0</v>
      </c>
      <c r="U185" s="430">
        <v>7047.62</v>
      </c>
      <c r="V185" s="430">
        <v>7047.62</v>
      </c>
      <c r="W185" s="430">
        <v>2061</v>
      </c>
      <c r="X185" s="430">
        <v>4986.62</v>
      </c>
      <c r="Y185" s="430">
        <v>6642.62</v>
      </c>
      <c r="Z185" s="430">
        <v>11629.24</v>
      </c>
      <c r="AB185" s="430"/>
    </row>
    <row r="186" spans="1:28" x14ac:dyDescent="0.25">
      <c r="A186" t="s">
        <v>553</v>
      </c>
      <c r="B186" t="s">
        <v>894</v>
      </c>
      <c r="C186" s="430">
        <v>0.6499999999996362</v>
      </c>
      <c r="D186" s="430">
        <v>7172.5</v>
      </c>
      <c r="E186" s="430">
        <v>7173.15</v>
      </c>
      <c r="F186" s="430"/>
      <c r="G186" s="430">
        <v>7173.15</v>
      </c>
      <c r="H186" s="430">
        <v>7510</v>
      </c>
      <c r="I186" s="430">
        <v>13015.2</v>
      </c>
      <c r="J186" s="430">
        <v>27698.35</v>
      </c>
      <c r="K186" s="430">
        <v>9656</v>
      </c>
      <c r="L186" s="430">
        <v>18042.349999999999</v>
      </c>
      <c r="M186" s="430">
        <v>7678.75</v>
      </c>
      <c r="N186" s="430">
        <v>25721.1</v>
      </c>
      <c r="O186" s="430">
        <v>7046.59</v>
      </c>
      <c r="P186" s="430">
        <v>18674.509999999998</v>
      </c>
      <c r="Q186" s="430" t="e">
        <v>#REF!</v>
      </c>
      <c r="R186" s="430">
        <v>26555.759999999998</v>
      </c>
      <c r="S186" s="430">
        <v>0</v>
      </c>
      <c r="T186" s="430">
        <v>26555.759999999998</v>
      </c>
      <c r="U186" s="430">
        <v>9568.75</v>
      </c>
      <c r="V186" s="430">
        <v>36124.509999999995</v>
      </c>
      <c r="W186" s="430">
        <v>24034.629999999997</v>
      </c>
      <c r="X186" s="430">
        <v>12089.879999999997</v>
      </c>
      <c r="Y186" s="430">
        <v>9492.81</v>
      </c>
      <c r="Z186" s="430">
        <v>21582.689999999995</v>
      </c>
      <c r="AB186" s="430"/>
    </row>
    <row r="187" spans="1:28" x14ac:dyDescent="0.25">
      <c r="A187" t="s">
        <v>563</v>
      </c>
      <c r="B187" t="s">
        <v>893</v>
      </c>
      <c r="C187" s="430">
        <v>-0.23999999999796273</v>
      </c>
      <c r="D187" s="430">
        <v>7010.5</v>
      </c>
      <c r="E187" s="430">
        <v>7010.260000000002</v>
      </c>
      <c r="F187" s="430">
        <v>5518.43</v>
      </c>
      <c r="G187" s="430">
        <v>1491.8300000000017</v>
      </c>
      <c r="H187" s="430">
        <v>7840.75</v>
      </c>
      <c r="I187" s="430">
        <v>13958.94</v>
      </c>
      <c r="J187" s="430">
        <v>23291.520000000004</v>
      </c>
      <c r="K187" s="430">
        <v>0</v>
      </c>
      <c r="L187" s="430">
        <v>23291.520000000004</v>
      </c>
      <c r="M187" s="430">
        <v>9008.5</v>
      </c>
      <c r="N187" s="430">
        <v>32300.020000000004</v>
      </c>
      <c r="O187" s="430">
        <v>4340</v>
      </c>
      <c r="P187" s="430">
        <v>27960.020000000004</v>
      </c>
      <c r="Q187" s="430" t="e">
        <v>#REF!</v>
      </c>
      <c r="R187" s="430">
        <v>37542.270000000004</v>
      </c>
      <c r="S187" s="430">
        <v>19845</v>
      </c>
      <c r="T187" s="430">
        <v>17697.270000000004</v>
      </c>
      <c r="U187" s="430">
        <v>13699.75</v>
      </c>
      <c r="V187" s="430">
        <v>31397.020000000004</v>
      </c>
      <c r="W187" s="430">
        <v>11440.85</v>
      </c>
      <c r="X187" s="430">
        <v>19956.170000000006</v>
      </c>
      <c r="Y187" s="430">
        <v>14732.5</v>
      </c>
      <c r="Z187" s="430">
        <v>34688.670000000006</v>
      </c>
      <c r="AB187" s="430"/>
    </row>
    <row r="188" spans="1:28" x14ac:dyDescent="0.25">
      <c r="A188" t="s">
        <v>565</v>
      </c>
      <c r="B188" t="s">
        <v>892</v>
      </c>
      <c r="C188" s="430">
        <v>14996.859999999999</v>
      </c>
      <c r="D188" s="430">
        <v>6470.5</v>
      </c>
      <c r="E188" s="430">
        <v>21467.360000000001</v>
      </c>
      <c r="F188" s="430">
        <v>8132.37</v>
      </c>
      <c r="G188" s="430">
        <v>13334.990000000002</v>
      </c>
      <c r="H188" s="430">
        <v>6382.75</v>
      </c>
      <c r="I188" s="430">
        <v>9798.7800000000007</v>
      </c>
      <c r="J188" s="430">
        <v>29516.520000000004</v>
      </c>
      <c r="K188" s="430">
        <v>17534.88</v>
      </c>
      <c r="L188" s="430">
        <v>11981.640000000003</v>
      </c>
      <c r="M188" s="430">
        <v>6747.25</v>
      </c>
      <c r="N188" s="430">
        <v>18728.890000000003</v>
      </c>
      <c r="O188" s="430">
        <v>8677.94</v>
      </c>
      <c r="P188" s="430">
        <v>10050.950000000003</v>
      </c>
      <c r="Q188" s="430" t="e">
        <v>#REF!</v>
      </c>
      <c r="R188" s="430">
        <v>16973.700000000004</v>
      </c>
      <c r="S188" s="430">
        <v>2772.19</v>
      </c>
      <c r="T188" s="430">
        <v>14201.510000000004</v>
      </c>
      <c r="U188" s="430">
        <v>8313.25</v>
      </c>
      <c r="V188" s="430">
        <v>22514.760000000002</v>
      </c>
      <c r="W188" s="430">
        <v>12445.02</v>
      </c>
      <c r="X188" s="430">
        <v>10069.740000000002</v>
      </c>
      <c r="Y188" s="430">
        <v>8444.8799999999992</v>
      </c>
      <c r="Z188" s="430">
        <v>18514.620000000003</v>
      </c>
      <c r="AB188" s="430"/>
    </row>
    <row r="189" spans="1:28" x14ac:dyDescent="0.25">
      <c r="A189" t="s">
        <v>567</v>
      </c>
      <c r="B189" t="s">
        <v>891</v>
      </c>
      <c r="C189" s="430">
        <v>0.20000000000436557</v>
      </c>
      <c r="D189" s="430">
        <v>12370</v>
      </c>
      <c r="E189" s="430">
        <v>12370.200000000004</v>
      </c>
      <c r="F189" s="430"/>
      <c r="G189" s="430">
        <v>12370.200000000004</v>
      </c>
      <c r="H189" s="430">
        <v>11796.25</v>
      </c>
      <c r="I189" s="430">
        <v>25245.3</v>
      </c>
      <c r="J189" s="430">
        <v>49411.75</v>
      </c>
      <c r="K189" s="430">
        <v>32190.93</v>
      </c>
      <c r="L189" s="430">
        <v>17220.82</v>
      </c>
      <c r="M189" s="430">
        <v>11323.75</v>
      </c>
      <c r="N189" s="430">
        <v>28544.57</v>
      </c>
      <c r="O189" s="430">
        <v>16838.510000000002</v>
      </c>
      <c r="P189" s="430">
        <v>11706.059999999998</v>
      </c>
      <c r="Q189" s="430">
        <v>11897.5</v>
      </c>
      <c r="R189" s="430">
        <v>23603.559999999998</v>
      </c>
      <c r="S189" s="430">
        <v>11706.06</v>
      </c>
      <c r="T189" s="430">
        <v>11897.499999999998</v>
      </c>
      <c r="U189" s="430"/>
      <c r="V189" s="430">
        <v>11897.499999999998</v>
      </c>
      <c r="W189" s="430">
        <v>0</v>
      </c>
      <c r="X189" s="430">
        <v>11897.499999999998</v>
      </c>
      <c r="Y189" s="430">
        <v>0</v>
      </c>
      <c r="Z189" s="430">
        <v>11897.499999999998</v>
      </c>
      <c r="AB189" s="430"/>
    </row>
    <row r="190" spans="1:28" x14ac:dyDescent="0.25">
      <c r="A190" t="s">
        <v>568</v>
      </c>
      <c r="B190" t="s">
        <v>890</v>
      </c>
      <c r="C190" s="430">
        <v>-0.44999999999708962</v>
      </c>
      <c r="D190" s="430">
        <v>17095</v>
      </c>
      <c r="E190" s="430">
        <v>17094.550000000003</v>
      </c>
      <c r="F190" s="430">
        <v>17094.55</v>
      </c>
      <c r="G190" s="430">
        <v>0</v>
      </c>
      <c r="H190" s="430">
        <v>17162.5</v>
      </c>
      <c r="I190" s="430">
        <v>40557</v>
      </c>
      <c r="J190" s="430">
        <v>57719.5</v>
      </c>
      <c r="K190" s="430">
        <v>17028</v>
      </c>
      <c r="L190" s="430">
        <v>40691.5</v>
      </c>
      <c r="M190" s="430">
        <v>16791.25</v>
      </c>
      <c r="N190" s="430">
        <v>57482.75</v>
      </c>
      <c r="O190" s="430">
        <v>17028</v>
      </c>
      <c r="P190" s="430">
        <v>40454.75</v>
      </c>
      <c r="Q190" s="430" t="e">
        <v>#REF!</v>
      </c>
      <c r="R190" s="430">
        <v>57043.5</v>
      </c>
      <c r="S190" s="430">
        <v>57043</v>
      </c>
      <c r="T190" s="430">
        <v>0.5</v>
      </c>
      <c r="U190" s="430">
        <v>23035</v>
      </c>
      <c r="V190" s="430">
        <v>23035.5</v>
      </c>
      <c r="W190" s="430">
        <v>0</v>
      </c>
      <c r="X190" s="430">
        <v>23035.5</v>
      </c>
      <c r="Y190" s="430">
        <v>23465.31</v>
      </c>
      <c r="Z190" s="430">
        <v>46500.81</v>
      </c>
      <c r="AB190" s="430"/>
    </row>
    <row r="191" spans="1:28" x14ac:dyDescent="0.25">
      <c r="A191" t="s">
        <v>570</v>
      </c>
      <c r="B191" t="s">
        <v>889</v>
      </c>
      <c r="C191" s="430">
        <v>0</v>
      </c>
      <c r="D191" s="430">
        <v>6733.75</v>
      </c>
      <c r="E191" s="430">
        <v>6733.75</v>
      </c>
      <c r="F191" s="430">
        <v>6733.75</v>
      </c>
      <c r="G191" s="430">
        <v>0</v>
      </c>
      <c r="H191" s="430">
        <v>6632.5</v>
      </c>
      <c r="I191" s="430">
        <v>10511.4</v>
      </c>
      <c r="J191" s="430">
        <v>17143.900000000001</v>
      </c>
      <c r="K191" s="430">
        <v>0</v>
      </c>
      <c r="L191" s="430">
        <v>17143.900000000001</v>
      </c>
      <c r="M191" s="430">
        <v>6733.75</v>
      </c>
      <c r="N191" s="430">
        <v>23877.65</v>
      </c>
      <c r="O191" s="430">
        <v>0</v>
      </c>
      <c r="P191" s="430">
        <v>23877.65</v>
      </c>
      <c r="Q191" s="430" t="e">
        <v>#REF!</v>
      </c>
      <c r="R191" s="430">
        <v>30071.4</v>
      </c>
      <c r="S191" s="430">
        <v>0</v>
      </c>
      <c r="T191" s="430">
        <v>30071.4</v>
      </c>
      <c r="U191" s="430">
        <v>7088.12</v>
      </c>
      <c r="V191" s="430">
        <v>37159.520000000004</v>
      </c>
      <c r="W191" s="430">
        <v>0</v>
      </c>
      <c r="X191" s="430">
        <v>37159.520000000004</v>
      </c>
      <c r="Y191" s="430">
        <v>0</v>
      </c>
      <c r="Z191" s="430">
        <v>37159.520000000004</v>
      </c>
      <c r="AB191" s="430"/>
    </row>
    <row r="192" spans="1:28" x14ac:dyDescent="0.25">
      <c r="A192" t="s">
        <v>572</v>
      </c>
      <c r="B192" t="s">
        <v>888</v>
      </c>
      <c r="C192" s="430">
        <v>8666.25</v>
      </c>
      <c r="D192" s="430">
        <v>7105</v>
      </c>
      <c r="E192" s="430">
        <v>15771.25</v>
      </c>
      <c r="F192" s="430"/>
      <c r="G192" s="430">
        <v>15771.25</v>
      </c>
      <c r="H192" s="430">
        <v>7678.75</v>
      </c>
      <c r="I192" s="430">
        <v>13496.7</v>
      </c>
      <c r="J192" s="430">
        <v>36946.699999999997</v>
      </c>
      <c r="K192" s="430">
        <v>12731.69</v>
      </c>
      <c r="L192" s="430">
        <v>24215.009999999995</v>
      </c>
      <c r="M192" s="430">
        <v>7240</v>
      </c>
      <c r="N192" s="430">
        <v>31455.009999999995</v>
      </c>
      <c r="O192" s="430">
        <v>5999.3</v>
      </c>
      <c r="P192" s="430">
        <v>25455.709999999995</v>
      </c>
      <c r="Q192" s="430" t="e">
        <v>#REF!</v>
      </c>
      <c r="R192" s="430">
        <v>32661.959999999995</v>
      </c>
      <c r="S192" s="430">
        <v>4719.49</v>
      </c>
      <c r="T192" s="430">
        <v>27942.469999999994</v>
      </c>
      <c r="U192" s="430">
        <v>8860</v>
      </c>
      <c r="V192" s="430">
        <v>36802.469999999994</v>
      </c>
      <c r="W192" s="430">
        <v>13525.479999999998</v>
      </c>
      <c r="X192" s="430">
        <v>23276.989999999998</v>
      </c>
      <c r="Y192" s="430">
        <v>8404.3799999999992</v>
      </c>
      <c r="Z192" s="430">
        <v>31681.369999999995</v>
      </c>
      <c r="AB192" s="430"/>
    </row>
    <row r="193" spans="1:28" x14ac:dyDescent="0.25">
      <c r="A193" t="s">
        <v>574</v>
      </c>
      <c r="B193" t="s">
        <v>887</v>
      </c>
      <c r="C193" s="430">
        <v>-0.3599999999969441</v>
      </c>
      <c r="D193" s="430">
        <v>9184</v>
      </c>
      <c r="E193" s="430">
        <v>9183.6400000000031</v>
      </c>
      <c r="F193" s="430"/>
      <c r="G193" s="430">
        <v>9183.6400000000031</v>
      </c>
      <c r="H193" s="430">
        <v>9859</v>
      </c>
      <c r="I193" s="430">
        <v>19717.68</v>
      </c>
      <c r="J193" s="430">
        <v>38760.320000000007</v>
      </c>
      <c r="K193" s="430"/>
      <c r="L193" s="430">
        <v>38760.320000000007</v>
      </c>
      <c r="M193" s="430">
        <v>10378.75</v>
      </c>
      <c r="N193" s="430">
        <v>49139.070000000007</v>
      </c>
      <c r="O193" s="430">
        <v>19219</v>
      </c>
      <c r="P193" s="430">
        <v>29920.070000000007</v>
      </c>
      <c r="Q193" s="430" t="e">
        <v>#REF!</v>
      </c>
      <c r="R193" s="430">
        <v>40535.070000000007</v>
      </c>
      <c r="S193" s="430">
        <v>40535</v>
      </c>
      <c r="T193" s="430">
        <v>7.0000000006984919E-2</v>
      </c>
      <c r="U193" s="430">
        <v>14935</v>
      </c>
      <c r="V193" s="430">
        <v>14935.070000000007</v>
      </c>
      <c r="W193" s="430">
        <v>0</v>
      </c>
      <c r="X193" s="430">
        <v>14935.070000000007</v>
      </c>
      <c r="Y193" s="430">
        <v>15896.88</v>
      </c>
      <c r="Z193" s="430">
        <v>30831.950000000004</v>
      </c>
      <c r="AB193" s="430"/>
    </row>
    <row r="194" spans="1:28" ht="13.8" thickBot="1" x14ac:dyDescent="0.3">
      <c r="A194" t="s">
        <v>576</v>
      </c>
      <c r="B194" t="s">
        <v>886</v>
      </c>
      <c r="C194" s="430">
        <v>11034.190000000002</v>
      </c>
      <c r="D194" s="430">
        <v>11465.5</v>
      </c>
      <c r="E194" s="430">
        <v>22499.690000000002</v>
      </c>
      <c r="F194" s="430"/>
      <c r="G194" s="430">
        <v>22499.690000000002</v>
      </c>
      <c r="H194" s="430">
        <v>11391.25</v>
      </c>
      <c r="I194" s="430">
        <v>24089.7</v>
      </c>
      <c r="J194" s="430">
        <v>57980.639999999999</v>
      </c>
      <c r="K194" s="430"/>
      <c r="L194" s="430">
        <v>57980.639999999999</v>
      </c>
      <c r="M194" s="430">
        <v>11843.5</v>
      </c>
      <c r="N194" s="430">
        <v>69824.14</v>
      </c>
      <c r="O194" s="430">
        <v>0</v>
      </c>
      <c r="P194" s="430">
        <v>69824.14</v>
      </c>
      <c r="Q194" s="430" t="e">
        <v>#REF!</v>
      </c>
      <c r="R194" s="430">
        <v>81039.89</v>
      </c>
      <c r="S194" s="430">
        <v>69824.14</v>
      </c>
      <c r="T194" s="430">
        <v>11215.75</v>
      </c>
      <c r="U194" s="430">
        <v>15213.44</v>
      </c>
      <c r="V194" s="430">
        <v>26429.190000000002</v>
      </c>
      <c r="W194" s="430">
        <v>0</v>
      </c>
      <c r="X194" s="430">
        <v>26429.190000000002</v>
      </c>
      <c r="Y194" s="430">
        <v>15218.5</v>
      </c>
      <c r="Z194" s="430">
        <v>41647.69</v>
      </c>
      <c r="AB194" s="430"/>
    </row>
    <row r="195" spans="1:28" ht="15" thickBot="1" x14ac:dyDescent="0.35">
      <c r="A195" s="436"/>
      <c r="B195" s="437" t="s">
        <v>885</v>
      </c>
      <c r="C195" s="438">
        <v>150863.25</v>
      </c>
      <c r="D195" s="438">
        <v>161776.25</v>
      </c>
      <c r="E195" s="438">
        <v>312639.50000000006</v>
      </c>
      <c r="F195" s="438">
        <v>119037.37999999999</v>
      </c>
      <c r="G195" s="438">
        <v>193602.12000000002</v>
      </c>
      <c r="H195" s="438">
        <v>167095.25</v>
      </c>
      <c r="I195" s="438">
        <v>308511.78000000003</v>
      </c>
      <c r="J195" s="438">
        <v>669209.15</v>
      </c>
      <c r="K195" s="438">
        <v>143179.62</v>
      </c>
      <c r="L195" s="438">
        <v>526029.53</v>
      </c>
      <c r="M195" s="438">
        <v>170868.5</v>
      </c>
      <c r="N195" s="438">
        <v>696898.03000000014</v>
      </c>
      <c r="O195" s="438">
        <v>271391.7</v>
      </c>
      <c r="P195" s="438">
        <v>425506.33000000007</v>
      </c>
      <c r="Q195" s="438" t="e">
        <v>#REF!</v>
      </c>
      <c r="R195" s="438">
        <v>597529.08000000007</v>
      </c>
      <c r="S195" s="438">
        <v>235710.34000000003</v>
      </c>
      <c r="T195" s="438">
        <v>361818.74000000005</v>
      </c>
      <c r="U195" s="438">
        <v>204567.22999999998</v>
      </c>
      <c r="V195" s="438">
        <v>566385.97</v>
      </c>
      <c r="W195" s="438">
        <v>109473</v>
      </c>
      <c r="X195" s="438">
        <v>456912.97000000003</v>
      </c>
      <c r="Y195" s="438">
        <v>190218.88</v>
      </c>
      <c r="Z195" s="438">
        <v>647131.84999999986</v>
      </c>
      <c r="AB195" s="430"/>
    </row>
    <row r="196" spans="1:28" x14ac:dyDescent="0.25">
      <c r="A196" t="s">
        <v>303</v>
      </c>
      <c r="B196" t="s">
        <v>304</v>
      </c>
      <c r="C196" s="430"/>
      <c r="D196" s="430"/>
      <c r="E196" s="430"/>
      <c r="F196" s="430"/>
      <c r="G196" s="430"/>
      <c r="H196" s="430"/>
      <c r="I196" s="430"/>
      <c r="J196" s="430"/>
      <c r="K196" s="430"/>
      <c r="L196" s="430"/>
      <c r="M196" s="430"/>
      <c r="N196" s="430"/>
      <c r="O196" s="430"/>
      <c r="P196" s="430"/>
      <c r="Q196" s="430"/>
      <c r="R196" s="430"/>
      <c r="S196" s="430"/>
      <c r="T196" s="430"/>
      <c r="U196" s="430"/>
      <c r="V196" s="430"/>
      <c r="W196" s="430"/>
      <c r="X196" s="430"/>
      <c r="Y196" s="430">
        <v>8974.75</v>
      </c>
      <c r="Z196" s="430">
        <v>8974.75</v>
      </c>
      <c r="AB196" s="430"/>
    </row>
    <row r="197" spans="1:28" x14ac:dyDescent="0.25">
      <c r="A197" t="s">
        <v>512</v>
      </c>
      <c r="B197" t="s">
        <v>513</v>
      </c>
      <c r="C197" s="430"/>
      <c r="D197" s="430"/>
      <c r="E197" s="430"/>
      <c r="F197" s="430"/>
      <c r="G197" s="430"/>
      <c r="H197" s="430"/>
      <c r="I197" s="430"/>
      <c r="J197" s="430"/>
      <c r="K197" s="430"/>
      <c r="L197" s="430"/>
      <c r="M197" s="430"/>
      <c r="N197" s="430"/>
      <c r="O197" s="430"/>
      <c r="P197" s="430"/>
      <c r="Q197" s="430"/>
      <c r="R197" s="430"/>
      <c r="S197" s="430"/>
      <c r="T197" s="430"/>
      <c r="U197" s="430"/>
      <c r="V197" s="430"/>
      <c r="W197" s="430"/>
      <c r="X197" s="430"/>
      <c r="Y197" s="430">
        <v>25588.75</v>
      </c>
      <c r="Z197" s="430">
        <v>25588.75</v>
      </c>
      <c r="AB197" s="430"/>
    </row>
    <row r="198" spans="1:28" ht="13.8" thickBot="1" x14ac:dyDescent="0.3">
      <c r="A198" t="s">
        <v>518</v>
      </c>
      <c r="B198" t="s">
        <v>519</v>
      </c>
      <c r="C198" s="430"/>
      <c r="D198" s="430"/>
      <c r="E198" s="430"/>
      <c r="F198" s="430"/>
      <c r="G198" s="430"/>
      <c r="H198" s="430"/>
      <c r="I198" s="430"/>
      <c r="J198" s="430"/>
      <c r="K198" s="430"/>
      <c r="L198" s="430"/>
      <c r="M198" s="430"/>
      <c r="N198" s="430"/>
      <c r="O198" s="430"/>
      <c r="P198" s="430"/>
      <c r="Q198" s="430"/>
      <c r="R198" s="430"/>
      <c r="S198" s="430"/>
      <c r="T198" s="430"/>
      <c r="U198" s="430"/>
      <c r="V198" s="430"/>
      <c r="W198" s="430"/>
      <c r="X198" s="430"/>
      <c r="Y198" s="430">
        <v>29264.69</v>
      </c>
      <c r="Z198" s="430">
        <v>29264.69</v>
      </c>
      <c r="AB198" s="430"/>
    </row>
    <row r="199" spans="1:28" ht="15" thickBot="1" x14ac:dyDescent="0.35">
      <c r="A199" s="436"/>
      <c r="B199" s="437" t="s">
        <v>885</v>
      </c>
      <c r="C199" s="438"/>
      <c r="D199" s="438"/>
      <c r="E199" s="438"/>
      <c r="F199" s="438"/>
      <c r="G199" s="438"/>
      <c r="H199" s="438"/>
      <c r="I199" s="438"/>
      <c r="J199" s="438"/>
      <c r="K199" s="438"/>
      <c r="L199" s="438"/>
      <c r="M199" s="438"/>
      <c r="N199" s="438"/>
      <c r="O199" s="438"/>
      <c r="P199" s="438"/>
      <c r="Q199" s="438"/>
      <c r="R199" s="438"/>
      <c r="S199" s="438"/>
      <c r="T199" s="438"/>
      <c r="U199" s="438"/>
      <c r="V199" s="438"/>
      <c r="W199" s="438"/>
      <c r="X199" s="438"/>
      <c r="Y199" s="438">
        <v>63828.19</v>
      </c>
      <c r="Z199" s="438">
        <v>63828.19</v>
      </c>
      <c r="AB199" s="430"/>
    </row>
    <row r="200" spans="1:28" x14ac:dyDescent="0.25">
      <c r="C200" s="430"/>
      <c r="D200" s="430"/>
      <c r="E200" s="430">
        <v>0</v>
      </c>
      <c r="F200" s="430"/>
      <c r="G200" s="430">
        <v>0</v>
      </c>
      <c r="H200" s="430"/>
      <c r="I200" s="430"/>
      <c r="J200" s="430"/>
      <c r="K200" s="430"/>
      <c r="L200" s="430"/>
      <c r="M200" s="430"/>
      <c r="N200" s="430"/>
      <c r="O200" s="430"/>
      <c r="P200" s="430"/>
      <c r="Q200" s="430"/>
      <c r="R200" s="430"/>
      <c r="S200" s="430"/>
      <c r="T200" s="430"/>
      <c r="U200" s="430"/>
      <c r="AB200" s="430"/>
    </row>
    <row r="201" spans="1:28" x14ac:dyDescent="0.25">
      <c r="B201" s="45" t="s">
        <v>884</v>
      </c>
      <c r="C201" s="430">
        <v>1983394.7200000002</v>
      </c>
      <c r="D201" s="430">
        <v>1626574.85</v>
      </c>
      <c r="E201" s="430">
        <v>3609969.57</v>
      </c>
      <c r="F201" s="430">
        <v>1655201.0199999998</v>
      </c>
      <c r="G201" s="430">
        <v>1954768.5500000007</v>
      </c>
      <c r="H201" s="430">
        <v>1639953.64</v>
      </c>
      <c r="I201" s="430">
        <v>3114827.9699999997</v>
      </c>
      <c r="J201" s="430">
        <v>6709550.1600000001</v>
      </c>
      <c r="K201" s="430">
        <v>1655459.5100000002</v>
      </c>
      <c r="L201" s="430">
        <v>5054090.6500000013</v>
      </c>
      <c r="M201" s="430">
        <v>1657915.4900000002</v>
      </c>
      <c r="N201" s="430">
        <v>6712006.1400000015</v>
      </c>
      <c r="O201" s="430">
        <v>3082632.2700000005</v>
      </c>
      <c r="P201" s="430">
        <v>3629373.8699999987</v>
      </c>
      <c r="Q201" s="430" t="e">
        <v>#REF!</v>
      </c>
      <c r="R201" s="430">
        <v>5228670.379999999</v>
      </c>
      <c r="S201" s="430">
        <v>2220141.9600000004</v>
      </c>
      <c r="T201" s="430">
        <v>3205970.8599999994</v>
      </c>
      <c r="U201" s="430">
        <v>1625490.12</v>
      </c>
      <c r="V201" s="443">
        <v>4634018.5399999982</v>
      </c>
      <c r="W201" s="443">
        <v>994739.94</v>
      </c>
      <c r="X201" s="443">
        <v>3639278.5999999996</v>
      </c>
      <c r="Y201" s="430">
        <v>1598519.96</v>
      </c>
      <c r="Z201" s="430">
        <v>5237798.5599999996</v>
      </c>
      <c r="AB201" s="430"/>
    </row>
    <row r="202" spans="1:28" x14ac:dyDescent="0.25">
      <c r="B202" s="45" t="s">
        <v>883</v>
      </c>
      <c r="C202" s="430"/>
      <c r="D202" s="430"/>
      <c r="E202" s="430"/>
      <c r="F202" s="430"/>
      <c r="G202" s="430"/>
      <c r="H202" s="430"/>
      <c r="I202" s="430"/>
      <c r="J202" s="430"/>
      <c r="K202" s="430"/>
      <c r="L202" s="430"/>
      <c r="M202" s="430"/>
      <c r="N202" s="430"/>
      <c r="O202" s="430"/>
      <c r="P202" s="430"/>
      <c r="Q202" s="430"/>
      <c r="R202" s="430"/>
      <c r="S202" s="430">
        <v>18341.63</v>
      </c>
      <c r="T202" s="430"/>
      <c r="U202">
        <v>34222.619999999995</v>
      </c>
      <c r="V202" s="420" t="s">
        <v>883</v>
      </c>
      <c r="AB202" s="430"/>
    </row>
    <row r="203" spans="1:28" ht="14.4" x14ac:dyDescent="0.3">
      <c r="B203" s="444" t="s">
        <v>882</v>
      </c>
      <c r="C203" s="430"/>
      <c r="D203" s="430"/>
      <c r="E203" s="430"/>
      <c r="F203" s="430"/>
      <c r="G203" s="430"/>
      <c r="H203" s="430"/>
      <c r="I203" s="430"/>
      <c r="J203" s="430"/>
      <c r="K203" s="430"/>
      <c r="L203" s="430"/>
      <c r="M203" s="430"/>
      <c r="S203" s="430">
        <v>2238483.5900000003</v>
      </c>
      <c r="U203" s="430">
        <v>1659712.7400000002</v>
      </c>
      <c r="AB203" s="430"/>
    </row>
    <row r="204" spans="1:28" ht="14.4" x14ac:dyDescent="0.3">
      <c r="B204" s="444" t="s">
        <v>881</v>
      </c>
      <c r="C204" s="430"/>
      <c r="D204" s="430"/>
      <c r="E204" s="430"/>
      <c r="F204" s="430"/>
      <c r="G204" s="430"/>
      <c r="H204" s="430"/>
      <c r="I204" s="430"/>
      <c r="J204" s="430"/>
      <c r="K204" s="430"/>
      <c r="L204" s="430"/>
      <c r="M204" s="430"/>
      <c r="S204" s="430">
        <v>2238483.59</v>
      </c>
      <c r="U204">
        <v>1659712.7400000002</v>
      </c>
      <c r="AB204" s="430"/>
    </row>
    <row r="205" spans="1:28" x14ac:dyDescent="0.25">
      <c r="A205" s="45"/>
      <c r="B205" s="42" t="s">
        <v>880</v>
      </c>
      <c r="C205" s="430"/>
      <c r="D205" s="430">
        <v>12478</v>
      </c>
      <c r="E205" s="430"/>
      <c r="F205" s="430"/>
      <c r="G205" s="430"/>
      <c r="H205" s="430">
        <v>12950.5</v>
      </c>
      <c r="I205" s="430">
        <v>28539</v>
      </c>
      <c r="J205" s="430">
        <v>41489.5</v>
      </c>
      <c r="K205" s="430"/>
      <c r="L205" s="430"/>
      <c r="M205" s="445">
        <v>13578.25</v>
      </c>
      <c r="Q205">
        <v>13504</v>
      </c>
      <c r="S205">
        <v>2238483.59</v>
      </c>
      <c r="U205" s="430">
        <v>0</v>
      </c>
      <c r="AB205" s="430"/>
    </row>
    <row r="206" spans="1:28" x14ac:dyDescent="0.25">
      <c r="A206" s="45"/>
      <c r="B206" s="42" t="s">
        <v>879</v>
      </c>
      <c r="C206" s="430"/>
      <c r="D206" s="430">
        <v>23591.88</v>
      </c>
      <c r="E206" s="430"/>
      <c r="F206" s="430"/>
      <c r="G206" s="430"/>
      <c r="H206" s="430">
        <v>23901.25</v>
      </c>
      <c r="I206" s="430">
        <v>59785</v>
      </c>
      <c r="J206" s="430">
        <v>83686.25</v>
      </c>
      <c r="K206" s="430"/>
      <c r="L206" s="430"/>
      <c r="M206" s="445">
        <v>24300.63</v>
      </c>
      <c r="Q206">
        <v>24238.75</v>
      </c>
      <c r="S206" s="430">
        <v>0</v>
      </c>
      <c r="U206" s="430"/>
      <c r="AB206" s="430"/>
    </row>
    <row r="207" spans="1:28" x14ac:dyDescent="0.25">
      <c r="A207" s="45"/>
      <c r="B207" s="42"/>
      <c r="C207" s="430"/>
      <c r="D207" s="430">
        <v>25526.880000000001</v>
      </c>
      <c r="E207" s="430"/>
      <c r="F207" s="430"/>
      <c r="G207" s="430"/>
      <c r="H207" s="430">
        <v>27343.75</v>
      </c>
      <c r="I207" s="430">
        <v>69609</v>
      </c>
      <c r="J207" s="430">
        <v>96952.75</v>
      </c>
      <c r="K207" s="430"/>
      <c r="L207" s="430"/>
      <c r="M207" s="445">
        <v>27850</v>
      </c>
      <c r="AB207" s="430"/>
    </row>
    <row r="208" spans="1:28" x14ac:dyDescent="0.25">
      <c r="A208" s="45"/>
      <c r="B208" s="42" t="s">
        <v>878</v>
      </c>
      <c r="C208" s="430"/>
      <c r="D208" s="430">
        <v>9073.75</v>
      </c>
      <c r="E208" s="430"/>
      <c r="F208" s="430"/>
      <c r="G208" s="430"/>
      <c r="H208" s="430">
        <v>9150.25</v>
      </c>
      <c r="I208" s="430">
        <v>17695</v>
      </c>
      <c r="J208" s="430">
        <v>26845.25</v>
      </c>
      <c r="K208" s="430"/>
      <c r="L208" s="430"/>
      <c r="M208" s="445">
        <v>9080.5</v>
      </c>
      <c r="Q208">
        <v>9231.25</v>
      </c>
      <c r="AB208" s="430"/>
    </row>
    <row r="209" spans="2:28" x14ac:dyDescent="0.25">
      <c r="C209" s="430"/>
      <c r="D209" s="430"/>
      <c r="E209" s="430"/>
      <c r="F209" s="430"/>
      <c r="G209" s="430"/>
      <c r="H209" s="430"/>
      <c r="I209" s="430"/>
      <c r="J209" s="430">
        <v>0</v>
      </c>
      <c r="K209" s="430"/>
      <c r="L209" s="430"/>
      <c r="M209" s="430"/>
      <c r="AB209" s="430"/>
    </row>
    <row r="210" spans="2:28" ht="13.8" thickBot="1" x14ac:dyDescent="0.3">
      <c r="C210" s="430"/>
      <c r="D210" s="430">
        <v>94493.64</v>
      </c>
      <c r="E210" s="430"/>
      <c r="F210" s="430"/>
      <c r="G210" s="430"/>
      <c r="H210" s="430"/>
      <c r="I210" s="430"/>
      <c r="J210" s="430"/>
      <c r="K210" s="430"/>
      <c r="L210" s="430"/>
      <c r="M210" s="430"/>
      <c r="AB210" s="430"/>
    </row>
    <row r="211" spans="2:28" ht="15" thickBot="1" x14ac:dyDescent="0.35">
      <c r="B211" s="446" t="s">
        <v>877</v>
      </c>
      <c r="C211" s="447"/>
      <c r="D211" s="447"/>
      <c r="E211" s="447"/>
      <c r="F211" s="447"/>
      <c r="G211" s="448"/>
      <c r="H211" s="448">
        <v>1713299.39</v>
      </c>
      <c r="I211" s="448">
        <v>3290455.9699999997</v>
      </c>
      <c r="J211" s="448">
        <v>6958523.9100000001</v>
      </c>
      <c r="K211" s="448"/>
      <c r="L211" s="448"/>
      <c r="M211" s="449">
        <v>1732724.87</v>
      </c>
      <c r="O211" s="430">
        <v>3082632.2700000005</v>
      </c>
      <c r="P211" s="430">
        <v>3629373.8699999987</v>
      </c>
      <c r="Q211" s="430" t="e">
        <v>#REF!</v>
      </c>
      <c r="R211" s="430">
        <v>5228670.379999999</v>
      </c>
      <c r="S211" s="430">
        <v>2220141.9600000004</v>
      </c>
      <c r="T211" s="430">
        <v>3205970.8599999994</v>
      </c>
      <c r="U211" s="430"/>
      <c r="AB211" s="430"/>
    </row>
    <row r="212" spans="2:28" x14ac:dyDescent="0.25">
      <c r="D212" s="430" t="e">
        <v>#REF!</v>
      </c>
      <c r="E212" t="s">
        <v>876</v>
      </c>
      <c r="AB212" s="430"/>
    </row>
    <row r="214" spans="2:28" x14ac:dyDescent="0.25">
      <c r="G214" s="430"/>
    </row>
    <row r="215" spans="2:28" x14ac:dyDescent="0.25">
      <c r="P215" s="430">
        <v>3860955</v>
      </c>
      <c r="Q215" s="430" t="e">
        <v>#REF!</v>
      </c>
      <c r="R215" s="430"/>
    </row>
    <row r="217" spans="2:28" x14ac:dyDescent="0.25">
      <c r="P217" s="430">
        <v>231581.13000000129</v>
      </c>
      <c r="Q217" s="430" t="e">
        <v>#REF!</v>
      </c>
      <c r="R217" s="430"/>
    </row>
    <row r="219" spans="2:28" x14ac:dyDescent="0.25">
      <c r="Q219" s="430" t="e">
        <v>#REF!</v>
      </c>
    </row>
  </sheetData>
  <conditionalFormatting sqref="A200:A1048576 A1:A195 C1 E1 G1 I1 K1 M1 O1 Q1 S1 U1">
    <cfRule type="duplicateValues" dxfId="19" priority="4"/>
    <cfRule type="duplicateValues" dxfId="18" priority="5"/>
  </conditionalFormatting>
  <conditionalFormatting sqref="A200:A1048576 A1:A195">
    <cfRule type="duplicateValues" dxfId="17" priority="1"/>
    <cfRule type="duplicateValues" dxfId="16" priority="2"/>
    <cfRule type="duplicateValues" dxfId="15" priority="3"/>
  </conditionalFormatting>
  <conditionalFormatting sqref="A196:A199">
    <cfRule type="duplicateValues" dxfId="14" priority="6"/>
    <cfRule type="duplicateValues" dxfId="13" priority="7"/>
  </conditionalFormatting>
  <conditionalFormatting sqref="A196:A199">
    <cfRule type="duplicateValues" dxfId="12" priority="8"/>
    <cfRule type="duplicateValues" dxfId="11" priority="9"/>
    <cfRule type="duplicateValues" dxfId="10" priority="10"/>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B3B8F-C81A-4B6A-9E87-0141B3EBF863}">
  <dimension ref="A1:BN304"/>
  <sheetViews>
    <sheetView zoomScale="96" zoomScaleNormal="96" workbookViewId="0">
      <pane xSplit="5" ySplit="4" topLeftCell="BB5" activePane="bottomRight" state="frozen"/>
      <selection activeCell="BC3" sqref="BC3:BC251"/>
      <selection pane="topRight" activeCell="BC3" sqref="BC3:BC251"/>
      <selection pane="bottomLeft" activeCell="BC3" sqref="BC3:BC251"/>
      <selection pane="bottomRight" activeCell="BJ5" sqref="BJ5"/>
    </sheetView>
  </sheetViews>
  <sheetFormatPr defaultColWidth="9.21875" defaultRowHeight="14.4" x14ac:dyDescent="0.3"/>
  <cols>
    <col min="1" max="1" width="9.21875" style="399"/>
    <col min="2" max="2" width="7.44140625" style="400" customWidth="1"/>
    <col min="3" max="3" width="8.21875" style="400" customWidth="1"/>
    <col min="4" max="4" width="7.44140625" style="400" bestFit="1" customWidth="1"/>
    <col min="5" max="5" width="31.21875" style="401" customWidth="1"/>
    <col min="6" max="11" width="12.21875" style="399" customWidth="1"/>
    <col min="12" max="18" width="12.21875" style="407" customWidth="1"/>
    <col min="19" max="19" width="12.21875" style="408" customWidth="1"/>
    <col min="20" max="23" width="12.21875" style="407" customWidth="1"/>
    <col min="24" max="24" width="12.21875" style="409" customWidth="1"/>
    <col min="25" max="34" width="12.21875" style="407" customWidth="1"/>
    <col min="35" max="35" width="17.44140625" style="407" customWidth="1"/>
    <col min="36" max="38" width="12.21875" style="407" customWidth="1"/>
    <col min="39" max="39" width="13" style="407" customWidth="1"/>
    <col min="40" max="40" width="14.21875" style="407" customWidth="1"/>
    <col min="41" max="45" width="16.44140625" style="407" customWidth="1"/>
    <col min="46" max="46" width="12.21875" style="409" customWidth="1"/>
    <col min="47" max="54" width="12.21875" style="407" customWidth="1"/>
    <col min="55" max="56" width="12.21875" style="399" customWidth="1"/>
    <col min="57" max="57" width="9.21875" style="399"/>
    <col min="58" max="58" width="11.21875" style="402" customWidth="1"/>
    <col min="59" max="59" width="11.21875" style="402" bestFit="1" customWidth="1"/>
    <col min="60" max="60" width="14.44140625" style="402" bestFit="1" customWidth="1"/>
    <col min="61" max="61" width="11.21875" style="402" customWidth="1"/>
    <col min="62" max="62" width="11" style="402" customWidth="1"/>
    <col min="63" max="63" width="13.5546875" style="402" customWidth="1"/>
    <col min="64" max="64" width="9.21875" style="402"/>
    <col min="65" max="65" width="22.77734375" style="402" customWidth="1"/>
    <col min="66" max="66" width="9.21875" style="402"/>
    <col min="67" max="248" width="9.21875" style="399"/>
    <col min="249" max="249" width="7.44140625" style="399" customWidth="1"/>
    <col min="250" max="250" width="8.21875" style="399" customWidth="1"/>
    <col min="251" max="251" width="7.44140625" style="399" bestFit="1" customWidth="1"/>
    <col min="252" max="252" width="52" style="399" bestFit="1" customWidth="1"/>
    <col min="253" max="285" width="12.21875" style="399" customWidth="1"/>
    <col min="286" max="286" width="13" style="399" customWidth="1"/>
    <col min="287" max="287" width="14.21875" style="399" customWidth="1"/>
    <col min="288" max="292" width="16.44140625" style="399" customWidth="1"/>
    <col min="293" max="303" width="12.21875" style="399" customWidth="1"/>
    <col min="304" max="304" width="9.21875" style="399"/>
    <col min="305" max="305" width="11.21875" style="399" customWidth="1"/>
    <col min="306" max="306" width="11.21875" style="399" bestFit="1" customWidth="1"/>
    <col min="307" max="307" width="14.44140625" style="399" bestFit="1" customWidth="1"/>
    <col min="308" max="308" width="9.21875" style="399"/>
    <col min="309" max="309" width="11" style="399" customWidth="1"/>
    <col min="310" max="311" width="9.21875" style="399"/>
    <col min="312" max="312" width="10.77734375" style="399" customWidth="1"/>
    <col min="313" max="504" width="9.21875" style="399"/>
    <col min="505" max="505" width="7.44140625" style="399" customWidth="1"/>
    <col min="506" max="506" width="8.21875" style="399" customWidth="1"/>
    <col min="507" max="507" width="7.44140625" style="399" bestFit="1" customWidth="1"/>
    <col min="508" max="508" width="52" style="399" bestFit="1" customWidth="1"/>
    <col min="509" max="541" width="12.21875" style="399" customWidth="1"/>
    <col min="542" max="542" width="13" style="399" customWidth="1"/>
    <col min="543" max="543" width="14.21875" style="399" customWidth="1"/>
    <col min="544" max="548" width="16.44140625" style="399" customWidth="1"/>
    <col min="549" max="559" width="12.21875" style="399" customWidth="1"/>
    <col min="560" max="560" width="9.21875" style="399"/>
    <col min="561" max="561" width="11.21875" style="399" customWidth="1"/>
    <col min="562" max="562" width="11.21875" style="399" bestFit="1" customWidth="1"/>
    <col min="563" max="563" width="14.44140625" style="399" bestFit="1" customWidth="1"/>
    <col min="564" max="564" width="9.21875" style="399"/>
    <col min="565" max="565" width="11" style="399" customWidth="1"/>
    <col min="566" max="567" width="9.21875" style="399"/>
    <col min="568" max="568" width="10.77734375" style="399" customWidth="1"/>
    <col min="569" max="760" width="9.21875" style="399"/>
    <col min="761" max="761" width="7.44140625" style="399" customWidth="1"/>
    <col min="762" max="762" width="8.21875" style="399" customWidth="1"/>
    <col min="763" max="763" width="7.44140625" style="399" bestFit="1" customWidth="1"/>
    <col min="764" max="764" width="52" style="399" bestFit="1" customWidth="1"/>
    <col min="765" max="797" width="12.21875" style="399" customWidth="1"/>
    <col min="798" max="798" width="13" style="399" customWidth="1"/>
    <col min="799" max="799" width="14.21875" style="399" customWidth="1"/>
    <col min="800" max="804" width="16.44140625" style="399" customWidth="1"/>
    <col min="805" max="815" width="12.21875" style="399" customWidth="1"/>
    <col min="816" max="816" width="9.21875" style="399"/>
    <col min="817" max="817" width="11.21875" style="399" customWidth="1"/>
    <col min="818" max="818" width="11.21875" style="399" bestFit="1" customWidth="1"/>
    <col min="819" max="819" width="14.44140625" style="399" bestFit="1" customWidth="1"/>
    <col min="820" max="820" width="9.21875" style="399"/>
    <col min="821" max="821" width="11" style="399" customWidth="1"/>
    <col min="822" max="823" width="9.21875" style="399"/>
    <col min="824" max="824" width="10.77734375" style="399" customWidth="1"/>
    <col min="825" max="1016" width="9.21875" style="399"/>
    <col min="1017" max="1017" width="7.44140625" style="399" customWidth="1"/>
    <col min="1018" max="1018" width="8.21875" style="399" customWidth="1"/>
    <col min="1019" max="1019" width="7.44140625" style="399" bestFit="1" customWidth="1"/>
    <col min="1020" max="1020" width="52" style="399" bestFit="1" customWidth="1"/>
    <col min="1021" max="1053" width="12.21875" style="399" customWidth="1"/>
    <col min="1054" max="1054" width="13" style="399" customWidth="1"/>
    <col min="1055" max="1055" width="14.21875" style="399" customWidth="1"/>
    <col min="1056" max="1060" width="16.44140625" style="399" customWidth="1"/>
    <col min="1061" max="1071" width="12.21875" style="399" customWidth="1"/>
    <col min="1072" max="1072" width="9.21875" style="399"/>
    <col min="1073" max="1073" width="11.21875" style="399" customWidth="1"/>
    <col min="1074" max="1074" width="11.21875" style="399" bestFit="1" customWidth="1"/>
    <col min="1075" max="1075" width="14.44140625" style="399" bestFit="1" customWidth="1"/>
    <col min="1076" max="1076" width="9.21875" style="399"/>
    <col min="1077" max="1077" width="11" style="399" customWidth="1"/>
    <col min="1078" max="1079" width="9.21875" style="399"/>
    <col min="1080" max="1080" width="10.77734375" style="399" customWidth="1"/>
    <col min="1081" max="1272" width="9.21875" style="399"/>
    <col min="1273" max="1273" width="7.44140625" style="399" customWidth="1"/>
    <col min="1274" max="1274" width="8.21875" style="399" customWidth="1"/>
    <col min="1275" max="1275" width="7.44140625" style="399" bestFit="1" customWidth="1"/>
    <col min="1276" max="1276" width="52" style="399" bestFit="1" customWidth="1"/>
    <col min="1277" max="1309" width="12.21875" style="399" customWidth="1"/>
    <col min="1310" max="1310" width="13" style="399" customWidth="1"/>
    <col min="1311" max="1311" width="14.21875" style="399" customWidth="1"/>
    <col min="1312" max="1316" width="16.44140625" style="399" customWidth="1"/>
    <col min="1317" max="1327" width="12.21875" style="399" customWidth="1"/>
    <col min="1328" max="1328" width="9.21875" style="399"/>
    <col min="1329" max="1329" width="11.21875" style="399" customWidth="1"/>
    <col min="1330" max="1330" width="11.21875" style="399" bestFit="1" customWidth="1"/>
    <col min="1331" max="1331" width="14.44140625" style="399" bestFit="1" customWidth="1"/>
    <col min="1332" max="1332" width="9.21875" style="399"/>
    <col min="1333" max="1333" width="11" style="399" customWidth="1"/>
    <col min="1334" max="1335" width="9.21875" style="399"/>
    <col min="1336" max="1336" width="10.77734375" style="399" customWidth="1"/>
    <col min="1337" max="1528" width="9.21875" style="399"/>
    <col min="1529" max="1529" width="7.44140625" style="399" customWidth="1"/>
    <col min="1530" max="1530" width="8.21875" style="399" customWidth="1"/>
    <col min="1531" max="1531" width="7.44140625" style="399" bestFit="1" customWidth="1"/>
    <col min="1532" max="1532" width="52" style="399" bestFit="1" customWidth="1"/>
    <col min="1533" max="1565" width="12.21875" style="399" customWidth="1"/>
    <col min="1566" max="1566" width="13" style="399" customWidth="1"/>
    <col min="1567" max="1567" width="14.21875" style="399" customWidth="1"/>
    <col min="1568" max="1572" width="16.44140625" style="399" customWidth="1"/>
    <col min="1573" max="1583" width="12.21875" style="399" customWidth="1"/>
    <col min="1584" max="1584" width="9.21875" style="399"/>
    <col min="1585" max="1585" width="11.21875" style="399" customWidth="1"/>
    <col min="1586" max="1586" width="11.21875" style="399" bestFit="1" customWidth="1"/>
    <col min="1587" max="1587" width="14.44140625" style="399" bestFit="1" customWidth="1"/>
    <col min="1588" max="1588" width="9.21875" style="399"/>
    <col min="1589" max="1589" width="11" style="399" customWidth="1"/>
    <col min="1590" max="1591" width="9.21875" style="399"/>
    <col min="1592" max="1592" width="10.77734375" style="399" customWidth="1"/>
    <col min="1593" max="1784" width="9.21875" style="399"/>
    <col min="1785" max="1785" width="7.44140625" style="399" customWidth="1"/>
    <col min="1786" max="1786" width="8.21875" style="399" customWidth="1"/>
    <col min="1787" max="1787" width="7.44140625" style="399" bestFit="1" customWidth="1"/>
    <col min="1788" max="1788" width="52" style="399" bestFit="1" customWidth="1"/>
    <col min="1789" max="1821" width="12.21875" style="399" customWidth="1"/>
    <col min="1822" max="1822" width="13" style="399" customWidth="1"/>
    <col min="1823" max="1823" width="14.21875" style="399" customWidth="1"/>
    <col min="1824" max="1828" width="16.44140625" style="399" customWidth="1"/>
    <col min="1829" max="1839" width="12.21875" style="399" customWidth="1"/>
    <col min="1840" max="1840" width="9.21875" style="399"/>
    <col min="1841" max="1841" width="11.21875" style="399" customWidth="1"/>
    <col min="1842" max="1842" width="11.21875" style="399" bestFit="1" customWidth="1"/>
    <col min="1843" max="1843" width="14.44140625" style="399" bestFit="1" customWidth="1"/>
    <col min="1844" max="1844" width="9.21875" style="399"/>
    <col min="1845" max="1845" width="11" style="399" customWidth="1"/>
    <col min="1846" max="1847" width="9.21875" style="399"/>
    <col min="1848" max="1848" width="10.77734375" style="399" customWidth="1"/>
    <col min="1849" max="2040" width="9.21875" style="399"/>
    <col min="2041" max="2041" width="7.44140625" style="399" customWidth="1"/>
    <col min="2042" max="2042" width="8.21875" style="399" customWidth="1"/>
    <col min="2043" max="2043" width="7.44140625" style="399" bestFit="1" customWidth="1"/>
    <col min="2044" max="2044" width="52" style="399" bestFit="1" customWidth="1"/>
    <col min="2045" max="2077" width="12.21875" style="399" customWidth="1"/>
    <col min="2078" max="2078" width="13" style="399" customWidth="1"/>
    <col min="2079" max="2079" width="14.21875" style="399" customWidth="1"/>
    <col min="2080" max="2084" width="16.44140625" style="399" customWidth="1"/>
    <col min="2085" max="2095" width="12.21875" style="399" customWidth="1"/>
    <col min="2096" max="2096" width="9.21875" style="399"/>
    <col min="2097" max="2097" width="11.21875" style="399" customWidth="1"/>
    <col min="2098" max="2098" width="11.21875" style="399" bestFit="1" customWidth="1"/>
    <col min="2099" max="2099" width="14.44140625" style="399" bestFit="1" customWidth="1"/>
    <col min="2100" max="2100" width="9.21875" style="399"/>
    <col min="2101" max="2101" width="11" style="399" customWidth="1"/>
    <col min="2102" max="2103" width="9.21875" style="399"/>
    <col min="2104" max="2104" width="10.77734375" style="399" customWidth="1"/>
    <col min="2105" max="2296" width="9.21875" style="399"/>
    <col min="2297" max="2297" width="7.44140625" style="399" customWidth="1"/>
    <col min="2298" max="2298" width="8.21875" style="399" customWidth="1"/>
    <col min="2299" max="2299" width="7.44140625" style="399" bestFit="1" customWidth="1"/>
    <col min="2300" max="2300" width="52" style="399" bestFit="1" customWidth="1"/>
    <col min="2301" max="2333" width="12.21875" style="399" customWidth="1"/>
    <col min="2334" max="2334" width="13" style="399" customWidth="1"/>
    <col min="2335" max="2335" width="14.21875" style="399" customWidth="1"/>
    <col min="2336" max="2340" width="16.44140625" style="399" customWidth="1"/>
    <col min="2341" max="2351" width="12.21875" style="399" customWidth="1"/>
    <col min="2352" max="2352" width="9.21875" style="399"/>
    <col min="2353" max="2353" width="11.21875" style="399" customWidth="1"/>
    <col min="2354" max="2354" width="11.21875" style="399" bestFit="1" customWidth="1"/>
    <col min="2355" max="2355" width="14.44140625" style="399" bestFit="1" customWidth="1"/>
    <col min="2356" max="2356" width="9.21875" style="399"/>
    <col min="2357" max="2357" width="11" style="399" customWidth="1"/>
    <col min="2358" max="2359" width="9.21875" style="399"/>
    <col min="2360" max="2360" width="10.77734375" style="399" customWidth="1"/>
    <col min="2361" max="2552" width="9.21875" style="399"/>
    <col min="2553" max="2553" width="7.44140625" style="399" customWidth="1"/>
    <col min="2554" max="2554" width="8.21875" style="399" customWidth="1"/>
    <col min="2555" max="2555" width="7.44140625" style="399" bestFit="1" customWidth="1"/>
    <col min="2556" max="2556" width="52" style="399" bestFit="1" customWidth="1"/>
    <col min="2557" max="2589" width="12.21875" style="399" customWidth="1"/>
    <col min="2590" max="2590" width="13" style="399" customWidth="1"/>
    <col min="2591" max="2591" width="14.21875" style="399" customWidth="1"/>
    <col min="2592" max="2596" width="16.44140625" style="399" customWidth="1"/>
    <col min="2597" max="2607" width="12.21875" style="399" customWidth="1"/>
    <col min="2608" max="2608" width="9.21875" style="399"/>
    <col min="2609" max="2609" width="11.21875" style="399" customWidth="1"/>
    <col min="2610" max="2610" width="11.21875" style="399" bestFit="1" customWidth="1"/>
    <col min="2611" max="2611" width="14.44140625" style="399" bestFit="1" customWidth="1"/>
    <col min="2612" max="2612" width="9.21875" style="399"/>
    <col min="2613" max="2613" width="11" style="399" customWidth="1"/>
    <col min="2614" max="2615" width="9.21875" style="399"/>
    <col min="2616" max="2616" width="10.77734375" style="399" customWidth="1"/>
    <col min="2617" max="2808" width="9.21875" style="399"/>
    <col min="2809" max="2809" width="7.44140625" style="399" customWidth="1"/>
    <col min="2810" max="2810" width="8.21875" style="399" customWidth="1"/>
    <col min="2811" max="2811" width="7.44140625" style="399" bestFit="1" customWidth="1"/>
    <col min="2812" max="2812" width="52" style="399" bestFit="1" customWidth="1"/>
    <col min="2813" max="2845" width="12.21875" style="399" customWidth="1"/>
    <col min="2846" max="2846" width="13" style="399" customWidth="1"/>
    <col min="2847" max="2847" width="14.21875" style="399" customWidth="1"/>
    <col min="2848" max="2852" width="16.44140625" style="399" customWidth="1"/>
    <col min="2853" max="2863" width="12.21875" style="399" customWidth="1"/>
    <col min="2864" max="2864" width="9.21875" style="399"/>
    <col min="2865" max="2865" width="11.21875" style="399" customWidth="1"/>
    <col min="2866" max="2866" width="11.21875" style="399" bestFit="1" customWidth="1"/>
    <col min="2867" max="2867" width="14.44140625" style="399" bestFit="1" customWidth="1"/>
    <col min="2868" max="2868" width="9.21875" style="399"/>
    <col min="2869" max="2869" width="11" style="399" customWidth="1"/>
    <col min="2870" max="2871" width="9.21875" style="399"/>
    <col min="2872" max="2872" width="10.77734375" style="399" customWidth="1"/>
    <col min="2873" max="3064" width="9.21875" style="399"/>
    <col min="3065" max="3065" width="7.44140625" style="399" customWidth="1"/>
    <col min="3066" max="3066" width="8.21875" style="399" customWidth="1"/>
    <col min="3067" max="3067" width="7.44140625" style="399" bestFit="1" customWidth="1"/>
    <col min="3068" max="3068" width="52" style="399" bestFit="1" customWidth="1"/>
    <col min="3069" max="3101" width="12.21875" style="399" customWidth="1"/>
    <col min="3102" max="3102" width="13" style="399" customWidth="1"/>
    <col min="3103" max="3103" width="14.21875" style="399" customWidth="1"/>
    <col min="3104" max="3108" width="16.44140625" style="399" customWidth="1"/>
    <col min="3109" max="3119" width="12.21875" style="399" customWidth="1"/>
    <col min="3120" max="3120" width="9.21875" style="399"/>
    <col min="3121" max="3121" width="11.21875" style="399" customWidth="1"/>
    <col min="3122" max="3122" width="11.21875" style="399" bestFit="1" customWidth="1"/>
    <col min="3123" max="3123" width="14.44140625" style="399" bestFit="1" customWidth="1"/>
    <col min="3124" max="3124" width="9.21875" style="399"/>
    <col min="3125" max="3125" width="11" style="399" customWidth="1"/>
    <col min="3126" max="3127" width="9.21875" style="399"/>
    <col min="3128" max="3128" width="10.77734375" style="399" customWidth="1"/>
    <col min="3129" max="3320" width="9.21875" style="399"/>
    <col min="3321" max="3321" width="7.44140625" style="399" customWidth="1"/>
    <col min="3322" max="3322" width="8.21875" style="399" customWidth="1"/>
    <col min="3323" max="3323" width="7.44140625" style="399" bestFit="1" customWidth="1"/>
    <col min="3324" max="3324" width="52" style="399" bestFit="1" customWidth="1"/>
    <col min="3325" max="3357" width="12.21875" style="399" customWidth="1"/>
    <col min="3358" max="3358" width="13" style="399" customWidth="1"/>
    <col min="3359" max="3359" width="14.21875" style="399" customWidth="1"/>
    <col min="3360" max="3364" width="16.44140625" style="399" customWidth="1"/>
    <col min="3365" max="3375" width="12.21875" style="399" customWidth="1"/>
    <col min="3376" max="3376" width="9.21875" style="399"/>
    <col min="3377" max="3377" width="11.21875" style="399" customWidth="1"/>
    <col min="3378" max="3378" width="11.21875" style="399" bestFit="1" customWidth="1"/>
    <col min="3379" max="3379" width="14.44140625" style="399" bestFit="1" customWidth="1"/>
    <col min="3380" max="3380" width="9.21875" style="399"/>
    <col min="3381" max="3381" width="11" style="399" customWidth="1"/>
    <col min="3382" max="3383" width="9.21875" style="399"/>
    <col min="3384" max="3384" width="10.77734375" style="399" customWidth="1"/>
    <col min="3385" max="3576" width="9.21875" style="399"/>
    <col min="3577" max="3577" width="7.44140625" style="399" customWidth="1"/>
    <col min="3578" max="3578" width="8.21875" style="399" customWidth="1"/>
    <col min="3579" max="3579" width="7.44140625" style="399" bestFit="1" customWidth="1"/>
    <col min="3580" max="3580" width="52" style="399" bestFit="1" customWidth="1"/>
    <col min="3581" max="3613" width="12.21875" style="399" customWidth="1"/>
    <col min="3614" max="3614" width="13" style="399" customWidth="1"/>
    <col min="3615" max="3615" width="14.21875" style="399" customWidth="1"/>
    <col min="3616" max="3620" width="16.44140625" style="399" customWidth="1"/>
    <col min="3621" max="3631" width="12.21875" style="399" customWidth="1"/>
    <col min="3632" max="3632" width="9.21875" style="399"/>
    <col min="3633" max="3633" width="11.21875" style="399" customWidth="1"/>
    <col min="3634" max="3634" width="11.21875" style="399" bestFit="1" customWidth="1"/>
    <col min="3635" max="3635" width="14.44140625" style="399" bestFit="1" customWidth="1"/>
    <col min="3636" max="3636" width="9.21875" style="399"/>
    <col min="3637" max="3637" width="11" style="399" customWidth="1"/>
    <col min="3638" max="3639" width="9.21875" style="399"/>
    <col min="3640" max="3640" width="10.77734375" style="399" customWidth="1"/>
    <col min="3641" max="3832" width="9.21875" style="399"/>
    <col min="3833" max="3833" width="7.44140625" style="399" customWidth="1"/>
    <col min="3834" max="3834" width="8.21875" style="399" customWidth="1"/>
    <col min="3835" max="3835" width="7.44140625" style="399" bestFit="1" customWidth="1"/>
    <col min="3836" max="3836" width="52" style="399" bestFit="1" customWidth="1"/>
    <col min="3837" max="3869" width="12.21875" style="399" customWidth="1"/>
    <col min="3870" max="3870" width="13" style="399" customWidth="1"/>
    <col min="3871" max="3871" width="14.21875" style="399" customWidth="1"/>
    <col min="3872" max="3876" width="16.44140625" style="399" customWidth="1"/>
    <col min="3877" max="3887" width="12.21875" style="399" customWidth="1"/>
    <col min="3888" max="3888" width="9.21875" style="399"/>
    <col min="3889" max="3889" width="11.21875" style="399" customWidth="1"/>
    <col min="3890" max="3890" width="11.21875" style="399" bestFit="1" customWidth="1"/>
    <col min="3891" max="3891" width="14.44140625" style="399" bestFit="1" customWidth="1"/>
    <col min="3892" max="3892" width="9.21875" style="399"/>
    <col min="3893" max="3893" width="11" style="399" customWidth="1"/>
    <col min="3894" max="3895" width="9.21875" style="399"/>
    <col min="3896" max="3896" width="10.77734375" style="399" customWidth="1"/>
    <col min="3897" max="4088" width="9.21875" style="399"/>
    <col min="4089" max="4089" width="7.44140625" style="399" customWidth="1"/>
    <col min="4090" max="4090" width="8.21875" style="399" customWidth="1"/>
    <col min="4091" max="4091" width="7.44140625" style="399" bestFit="1" customWidth="1"/>
    <col min="4092" max="4092" width="52" style="399" bestFit="1" customWidth="1"/>
    <col min="4093" max="4125" width="12.21875" style="399" customWidth="1"/>
    <col min="4126" max="4126" width="13" style="399" customWidth="1"/>
    <col min="4127" max="4127" width="14.21875" style="399" customWidth="1"/>
    <col min="4128" max="4132" width="16.44140625" style="399" customWidth="1"/>
    <col min="4133" max="4143" width="12.21875" style="399" customWidth="1"/>
    <col min="4144" max="4144" width="9.21875" style="399"/>
    <col min="4145" max="4145" width="11.21875" style="399" customWidth="1"/>
    <col min="4146" max="4146" width="11.21875" style="399" bestFit="1" customWidth="1"/>
    <col min="4147" max="4147" width="14.44140625" style="399" bestFit="1" customWidth="1"/>
    <col min="4148" max="4148" width="9.21875" style="399"/>
    <col min="4149" max="4149" width="11" style="399" customWidth="1"/>
    <col min="4150" max="4151" width="9.21875" style="399"/>
    <col min="4152" max="4152" width="10.77734375" style="399" customWidth="1"/>
    <col min="4153" max="4344" width="9.21875" style="399"/>
    <col min="4345" max="4345" width="7.44140625" style="399" customWidth="1"/>
    <col min="4346" max="4346" width="8.21875" style="399" customWidth="1"/>
    <col min="4347" max="4347" width="7.44140625" style="399" bestFit="1" customWidth="1"/>
    <col min="4348" max="4348" width="52" style="399" bestFit="1" customWidth="1"/>
    <col min="4349" max="4381" width="12.21875" style="399" customWidth="1"/>
    <col min="4382" max="4382" width="13" style="399" customWidth="1"/>
    <col min="4383" max="4383" width="14.21875" style="399" customWidth="1"/>
    <col min="4384" max="4388" width="16.44140625" style="399" customWidth="1"/>
    <col min="4389" max="4399" width="12.21875" style="399" customWidth="1"/>
    <col min="4400" max="4400" width="9.21875" style="399"/>
    <col min="4401" max="4401" width="11.21875" style="399" customWidth="1"/>
    <col min="4402" max="4402" width="11.21875" style="399" bestFit="1" customWidth="1"/>
    <col min="4403" max="4403" width="14.44140625" style="399" bestFit="1" customWidth="1"/>
    <col min="4404" max="4404" width="9.21875" style="399"/>
    <col min="4405" max="4405" width="11" style="399" customWidth="1"/>
    <col min="4406" max="4407" width="9.21875" style="399"/>
    <col min="4408" max="4408" width="10.77734375" style="399" customWidth="1"/>
    <col min="4409" max="4600" width="9.21875" style="399"/>
    <col min="4601" max="4601" width="7.44140625" style="399" customWidth="1"/>
    <col min="4602" max="4602" width="8.21875" style="399" customWidth="1"/>
    <col min="4603" max="4603" width="7.44140625" style="399" bestFit="1" customWidth="1"/>
    <col min="4604" max="4604" width="52" style="399" bestFit="1" customWidth="1"/>
    <col min="4605" max="4637" width="12.21875" style="399" customWidth="1"/>
    <col min="4638" max="4638" width="13" style="399" customWidth="1"/>
    <col min="4639" max="4639" width="14.21875" style="399" customWidth="1"/>
    <col min="4640" max="4644" width="16.44140625" style="399" customWidth="1"/>
    <col min="4645" max="4655" width="12.21875" style="399" customWidth="1"/>
    <col min="4656" max="4656" width="9.21875" style="399"/>
    <col min="4657" max="4657" width="11.21875" style="399" customWidth="1"/>
    <col min="4658" max="4658" width="11.21875" style="399" bestFit="1" customWidth="1"/>
    <col min="4659" max="4659" width="14.44140625" style="399" bestFit="1" customWidth="1"/>
    <col min="4660" max="4660" width="9.21875" style="399"/>
    <col min="4661" max="4661" width="11" style="399" customWidth="1"/>
    <col min="4662" max="4663" width="9.21875" style="399"/>
    <col min="4664" max="4664" width="10.77734375" style="399" customWidth="1"/>
    <col min="4665" max="4856" width="9.21875" style="399"/>
    <col min="4857" max="4857" width="7.44140625" style="399" customWidth="1"/>
    <col min="4858" max="4858" width="8.21875" style="399" customWidth="1"/>
    <col min="4859" max="4859" width="7.44140625" style="399" bestFit="1" customWidth="1"/>
    <col min="4860" max="4860" width="52" style="399" bestFit="1" customWidth="1"/>
    <col min="4861" max="4893" width="12.21875" style="399" customWidth="1"/>
    <col min="4894" max="4894" width="13" style="399" customWidth="1"/>
    <col min="4895" max="4895" width="14.21875" style="399" customWidth="1"/>
    <col min="4896" max="4900" width="16.44140625" style="399" customWidth="1"/>
    <col min="4901" max="4911" width="12.21875" style="399" customWidth="1"/>
    <col min="4912" max="4912" width="9.21875" style="399"/>
    <col min="4913" max="4913" width="11.21875" style="399" customWidth="1"/>
    <col min="4914" max="4914" width="11.21875" style="399" bestFit="1" customWidth="1"/>
    <col min="4915" max="4915" width="14.44140625" style="399" bestFit="1" customWidth="1"/>
    <col min="4916" max="4916" width="9.21875" style="399"/>
    <col min="4917" max="4917" width="11" style="399" customWidth="1"/>
    <col min="4918" max="4919" width="9.21875" style="399"/>
    <col min="4920" max="4920" width="10.77734375" style="399" customWidth="1"/>
    <col min="4921" max="5112" width="9.21875" style="399"/>
    <col min="5113" max="5113" width="7.44140625" style="399" customWidth="1"/>
    <col min="5114" max="5114" width="8.21875" style="399" customWidth="1"/>
    <col min="5115" max="5115" width="7.44140625" style="399" bestFit="1" customWidth="1"/>
    <col min="5116" max="5116" width="52" style="399" bestFit="1" customWidth="1"/>
    <col min="5117" max="5149" width="12.21875" style="399" customWidth="1"/>
    <col min="5150" max="5150" width="13" style="399" customWidth="1"/>
    <col min="5151" max="5151" width="14.21875" style="399" customWidth="1"/>
    <col min="5152" max="5156" width="16.44140625" style="399" customWidth="1"/>
    <col min="5157" max="5167" width="12.21875" style="399" customWidth="1"/>
    <col min="5168" max="5168" width="9.21875" style="399"/>
    <col min="5169" max="5169" width="11.21875" style="399" customWidth="1"/>
    <col min="5170" max="5170" width="11.21875" style="399" bestFit="1" customWidth="1"/>
    <col min="5171" max="5171" width="14.44140625" style="399" bestFit="1" customWidth="1"/>
    <col min="5172" max="5172" width="9.21875" style="399"/>
    <col min="5173" max="5173" width="11" style="399" customWidth="1"/>
    <col min="5174" max="5175" width="9.21875" style="399"/>
    <col min="5176" max="5176" width="10.77734375" style="399" customWidth="1"/>
    <col min="5177" max="5368" width="9.21875" style="399"/>
    <col min="5369" max="5369" width="7.44140625" style="399" customWidth="1"/>
    <col min="5370" max="5370" width="8.21875" style="399" customWidth="1"/>
    <col min="5371" max="5371" width="7.44140625" style="399" bestFit="1" customWidth="1"/>
    <col min="5372" max="5372" width="52" style="399" bestFit="1" customWidth="1"/>
    <col min="5373" max="5405" width="12.21875" style="399" customWidth="1"/>
    <col min="5406" max="5406" width="13" style="399" customWidth="1"/>
    <col min="5407" max="5407" width="14.21875" style="399" customWidth="1"/>
    <col min="5408" max="5412" width="16.44140625" style="399" customWidth="1"/>
    <col min="5413" max="5423" width="12.21875" style="399" customWidth="1"/>
    <col min="5424" max="5424" width="9.21875" style="399"/>
    <col min="5425" max="5425" width="11.21875" style="399" customWidth="1"/>
    <col min="5426" max="5426" width="11.21875" style="399" bestFit="1" customWidth="1"/>
    <col min="5427" max="5427" width="14.44140625" style="399" bestFit="1" customWidth="1"/>
    <col min="5428" max="5428" width="9.21875" style="399"/>
    <col min="5429" max="5429" width="11" style="399" customWidth="1"/>
    <col min="5430" max="5431" width="9.21875" style="399"/>
    <col min="5432" max="5432" width="10.77734375" style="399" customWidth="1"/>
    <col min="5433" max="5624" width="9.21875" style="399"/>
    <col min="5625" max="5625" width="7.44140625" style="399" customWidth="1"/>
    <col min="5626" max="5626" width="8.21875" style="399" customWidth="1"/>
    <col min="5627" max="5627" width="7.44140625" style="399" bestFit="1" customWidth="1"/>
    <col min="5628" max="5628" width="52" style="399" bestFit="1" customWidth="1"/>
    <col min="5629" max="5661" width="12.21875" style="399" customWidth="1"/>
    <col min="5662" max="5662" width="13" style="399" customWidth="1"/>
    <col min="5663" max="5663" width="14.21875" style="399" customWidth="1"/>
    <col min="5664" max="5668" width="16.44140625" style="399" customWidth="1"/>
    <col min="5669" max="5679" width="12.21875" style="399" customWidth="1"/>
    <col min="5680" max="5680" width="9.21875" style="399"/>
    <col min="5681" max="5681" width="11.21875" style="399" customWidth="1"/>
    <col min="5682" max="5682" width="11.21875" style="399" bestFit="1" customWidth="1"/>
    <col min="5683" max="5683" width="14.44140625" style="399" bestFit="1" customWidth="1"/>
    <col min="5684" max="5684" width="9.21875" style="399"/>
    <col min="5685" max="5685" width="11" style="399" customWidth="1"/>
    <col min="5686" max="5687" width="9.21875" style="399"/>
    <col min="5688" max="5688" width="10.77734375" style="399" customWidth="1"/>
    <col min="5689" max="5880" width="9.21875" style="399"/>
    <col min="5881" max="5881" width="7.44140625" style="399" customWidth="1"/>
    <col min="5882" max="5882" width="8.21875" style="399" customWidth="1"/>
    <col min="5883" max="5883" width="7.44140625" style="399" bestFit="1" customWidth="1"/>
    <col min="5884" max="5884" width="52" style="399" bestFit="1" customWidth="1"/>
    <col min="5885" max="5917" width="12.21875" style="399" customWidth="1"/>
    <col min="5918" max="5918" width="13" style="399" customWidth="1"/>
    <col min="5919" max="5919" width="14.21875" style="399" customWidth="1"/>
    <col min="5920" max="5924" width="16.44140625" style="399" customWidth="1"/>
    <col min="5925" max="5935" width="12.21875" style="399" customWidth="1"/>
    <col min="5936" max="5936" width="9.21875" style="399"/>
    <col min="5937" max="5937" width="11.21875" style="399" customWidth="1"/>
    <col min="5938" max="5938" width="11.21875" style="399" bestFit="1" customWidth="1"/>
    <col min="5939" max="5939" width="14.44140625" style="399" bestFit="1" customWidth="1"/>
    <col min="5940" max="5940" width="9.21875" style="399"/>
    <col min="5941" max="5941" width="11" style="399" customWidth="1"/>
    <col min="5942" max="5943" width="9.21875" style="399"/>
    <col min="5944" max="5944" width="10.77734375" style="399" customWidth="1"/>
    <col min="5945" max="6136" width="9.21875" style="399"/>
    <col min="6137" max="6137" width="7.44140625" style="399" customWidth="1"/>
    <col min="6138" max="6138" width="8.21875" style="399" customWidth="1"/>
    <col min="6139" max="6139" width="7.44140625" style="399" bestFit="1" customWidth="1"/>
    <col min="6140" max="6140" width="52" style="399" bestFit="1" customWidth="1"/>
    <col min="6141" max="6173" width="12.21875" style="399" customWidth="1"/>
    <col min="6174" max="6174" width="13" style="399" customWidth="1"/>
    <col min="6175" max="6175" width="14.21875" style="399" customWidth="1"/>
    <col min="6176" max="6180" width="16.44140625" style="399" customWidth="1"/>
    <col min="6181" max="6191" width="12.21875" style="399" customWidth="1"/>
    <col min="6192" max="6192" width="9.21875" style="399"/>
    <col min="6193" max="6193" width="11.21875" style="399" customWidth="1"/>
    <col min="6194" max="6194" width="11.21875" style="399" bestFit="1" customWidth="1"/>
    <col min="6195" max="6195" width="14.44140625" style="399" bestFit="1" customWidth="1"/>
    <col min="6196" max="6196" width="9.21875" style="399"/>
    <col min="6197" max="6197" width="11" style="399" customWidth="1"/>
    <col min="6198" max="6199" width="9.21875" style="399"/>
    <col min="6200" max="6200" width="10.77734375" style="399" customWidth="1"/>
    <col min="6201" max="6392" width="9.21875" style="399"/>
    <col min="6393" max="6393" width="7.44140625" style="399" customWidth="1"/>
    <col min="6394" max="6394" width="8.21875" style="399" customWidth="1"/>
    <col min="6395" max="6395" width="7.44140625" style="399" bestFit="1" customWidth="1"/>
    <col min="6396" max="6396" width="52" style="399" bestFit="1" customWidth="1"/>
    <col min="6397" max="6429" width="12.21875" style="399" customWidth="1"/>
    <col min="6430" max="6430" width="13" style="399" customWidth="1"/>
    <col min="6431" max="6431" width="14.21875" style="399" customWidth="1"/>
    <col min="6432" max="6436" width="16.44140625" style="399" customWidth="1"/>
    <col min="6437" max="6447" width="12.21875" style="399" customWidth="1"/>
    <col min="6448" max="6448" width="9.21875" style="399"/>
    <col min="6449" max="6449" width="11.21875" style="399" customWidth="1"/>
    <col min="6450" max="6450" width="11.21875" style="399" bestFit="1" customWidth="1"/>
    <col min="6451" max="6451" width="14.44140625" style="399" bestFit="1" customWidth="1"/>
    <col min="6452" max="6452" width="9.21875" style="399"/>
    <col min="6453" max="6453" width="11" style="399" customWidth="1"/>
    <col min="6454" max="6455" width="9.21875" style="399"/>
    <col min="6456" max="6456" width="10.77734375" style="399" customWidth="1"/>
    <col min="6457" max="6648" width="9.21875" style="399"/>
    <col min="6649" max="6649" width="7.44140625" style="399" customWidth="1"/>
    <col min="6650" max="6650" width="8.21875" style="399" customWidth="1"/>
    <col min="6651" max="6651" width="7.44140625" style="399" bestFit="1" customWidth="1"/>
    <col min="6652" max="6652" width="52" style="399" bestFit="1" customWidth="1"/>
    <col min="6653" max="6685" width="12.21875" style="399" customWidth="1"/>
    <col min="6686" max="6686" width="13" style="399" customWidth="1"/>
    <col min="6687" max="6687" width="14.21875" style="399" customWidth="1"/>
    <col min="6688" max="6692" width="16.44140625" style="399" customWidth="1"/>
    <col min="6693" max="6703" width="12.21875" style="399" customWidth="1"/>
    <col min="6704" max="6704" width="9.21875" style="399"/>
    <col min="6705" max="6705" width="11.21875" style="399" customWidth="1"/>
    <col min="6706" max="6706" width="11.21875" style="399" bestFit="1" customWidth="1"/>
    <col min="6707" max="6707" width="14.44140625" style="399" bestFit="1" customWidth="1"/>
    <col min="6708" max="6708" width="9.21875" style="399"/>
    <col min="6709" max="6709" width="11" style="399" customWidth="1"/>
    <col min="6710" max="6711" width="9.21875" style="399"/>
    <col min="6712" max="6712" width="10.77734375" style="399" customWidth="1"/>
    <col min="6713" max="6904" width="9.21875" style="399"/>
    <col min="6905" max="6905" width="7.44140625" style="399" customWidth="1"/>
    <col min="6906" max="6906" width="8.21875" style="399" customWidth="1"/>
    <col min="6907" max="6907" width="7.44140625" style="399" bestFit="1" customWidth="1"/>
    <col min="6908" max="6908" width="52" style="399" bestFit="1" customWidth="1"/>
    <col min="6909" max="6941" width="12.21875" style="399" customWidth="1"/>
    <col min="6942" max="6942" width="13" style="399" customWidth="1"/>
    <col min="6943" max="6943" width="14.21875" style="399" customWidth="1"/>
    <col min="6944" max="6948" width="16.44140625" style="399" customWidth="1"/>
    <col min="6949" max="6959" width="12.21875" style="399" customWidth="1"/>
    <col min="6960" max="6960" width="9.21875" style="399"/>
    <col min="6961" max="6961" width="11.21875" style="399" customWidth="1"/>
    <col min="6962" max="6962" width="11.21875" style="399" bestFit="1" customWidth="1"/>
    <col min="6963" max="6963" width="14.44140625" style="399" bestFit="1" customWidth="1"/>
    <col min="6964" max="6964" width="9.21875" style="399"/>
    <col min="6965" max="6965" width="11" style="399" customWidth="1"/>
    <col min="6966" max="6967" width="9.21875" style="399"/>
    <col min="6968" max="6968" width="10.77734375" style="399" customWidth="1"/>
    <col min="6969" max="7160" width="9.21875" style="399"/>
    <col min="7161" max="7161" width="7.44140625" style="399" customWidth="1"/>
    <col min="7162" max="7162" width="8.21875" style="399" customWidth="1"/>
    <col min="7163" max="7163" width="7.44140625" style="399" bestFit="1" customWidth="1"/>
    <col min="7164" max="7164" width="52" style="399" bestFit="1" customWidth="1"/>
    <col min="7165" max="7197" width="12.21875" style="399" customWidth="1"/>
    <col min="7198" max="7198" width="13" style="399" customWidth="1"/>
    <col min="7199" max="7199" width="14.21875" style="399" customWidth="1"/>
    <col min="7200" max="7204" width="16.44140625" style="399" customWidth="1"/>
    <col min="7205" max="7215" width="12.21875" style="399" customWidth="1"/>
    <col min="7216" max="7216" width="9.21875" style="399"/>
    <col min="7217" max="7217" width="11.21875" style="399" customWidth="1"/>
    <col min="7218" max="7218" width="11.21875" style="399" bestFit="1" customWidth="1"/>
    <col min="7219" max="7219" width="14.44140625" style="399" bestFit="1" customWidth="1"/>
    <col min="7220" max="7220" width="9.21875" style="399"/>
    <col min="7221" max="7221" width="11" style="399" customWidth="1"/>
    <col min="7222" max="7223" width="9.21875" style="399"/>
    <col min="7224" max="7224" width="10.77734375" style="399" customWidth="1"/>
    <col min="7225" max="7416" width="9.21875" style="399"/>
    <col min="7417" max="7417" width="7.44140625" style="399" customWidth="1"/>
    <col min="7418" max="7418" width="8.21875" style="399" customWidth="1"/>
    <col min="7419" max="7419" width="7.44140625" style="399" bestFit="1" customWidth="1"/>
    <col min="7420" max="7420" width="52" style="399" bestFit="1" customWidth="1"/>
    <col min="7421" max="7453" width="12.21875" style="399" customWidth="1"/>
    <col min="7454" max="7454" width="13" style="399" customWidth="1"/>
    <col min="7455" max="7455" width="14.21875" style="399" customWidth="1"/>
    <col min="7456" max="7460" width="16.44140625" style="399" customWidth="1"/>
    <col min="7461" max="7471" width="12.21875" style="399" customWidth="1"/>
    <col min="7472" max="7472" width="9.21875" style="399"/>
    <col min="7473" max="7473" width="11.21875" style="399" customWidth="1"/>
    <col min="7474" max="7474" width="11.21875" style="399" bestFit="1" customWidth="1"/>
    <col min="7475" max="7475" width="14.44140625" style="399" bestFit="1" customWidth="1"/>
    <col min="7476" max="7476" width="9.21875" style="399"/>
    <col min="7477" max="7477" width="11" style="399" customWidth="1"/>
    <col min="7478" max="7479" width="9.21875" style="399"/>
    <col min="7480" max="7480" width="10.77734375" style="399" customWidth="1"/>
    <col min="7481" max="7672" width="9.21875" style="399"/>
    <col min="7673" max="7673" width="7.44140625" style="399" customWidth="1"/>
    <col min="7674" max="7674" width="8.21875" style="399" customWidth="1"/>
    <col min="7675" max="7675" width="7.44140625" style="399" bestFit="1" customWidth="1"/>
    <col min="7676" max="7676" width="52" style="399" bestFit="1" customWidth="1"/>
    <col min="7677" max="7709" width="12.21875" style="399" customWidth="1"/>
    <col min="7710" max="7710" width="13" style="399" customWidth="1"/>
    <col min="7711" max="7711" width="14.21875" style="399" customWidth="1"/>
    <col min="7712" max="7716" width="16.44140625" style="399" customWidth="1"/>
    <col min="7717" max="7727" width="12.21875" style="399" customWidth="1"/>
    <col min="7728" max="7728" width="9.21875" style="399"/>
    <col min="7729" max="7729" width="11.21875" style="399" customWidth="1"/>
    <col min="7730" max="7730" width="11.21875" style="399" bestFit="1" customWidth="1"/>
    <col min="7731" max="7731" width="14.44140625" style="399" bestFit="1" customWidth="1"/>
    <col min="7732" max="7732" width="9.21875" style="399"/>
    <col min="7733" max="7733" width="11" style="399" customWidth="1"/>
    <col min="7734" max="7735" width="9.21875" style="399"/>
    <col min="7736" max="7736" width="10.77734375" style="399" customWidth="1"/>
    <col min="7737" max="7928" width="9.21875" style="399"/>
    <col min="7929" max="7929" width="7.44140625" style="399" customWidth="1"/>
    <col min="7930" max="7930" width="8.21875" style="399" customWidth="1"/>
    <col min="7931" max="7931" width="7.44140625" style="399" bestFit="1" customWidth="1"/>
    <col min="7932" max="7932" width="52" style="399" bestFit="1" customWidth="1"/>
    <col min="7933" max="7965" width="12.21875" style="399" customWidth="1"/>
    <col min="7966" max="7966" width="13" style="399" customWidth="1"/>
    <col min="7967" max="7967" width="14.21875" style="399" customWidth="1"/>
    <col min="7968" max="7972" width="16.44140625" style="399" customWidth="1"/>
    <col min="7973" max="7983" width="12.21875" style="399" customWidth="1"/>
    <col min="7984" max="7984" width="9.21875" style="399"/>
    <col min="7985" max="7985" width="11.21875" style="399" customWidth="1"/>
    <col min="7986" max="7986" width="11.21875" style="399" bestFit="1" customWidth="1"/>
    <col min="7987" max="7987" width="14.44140625" style="399" bestFit="1" customWidth="1"/>
    <col min="7988" max="7988" width="9.21875" style="399"/>
    <col min="7989" max="7989" width="11" style="399" customWidth="1"/>
    <col min="7990" max="7991" width="9.21875" style="399"/>
    <col min="7992" max="7992" width="10.77734375" style="399" customWidth="1"/>
    <col min="7993" max="8184" width="9.21875" style="399"/>
    <col min="8185" max="8185" width="7.44140625" style="399" customWidth="1"/>
    <col min="8186" max="8186" width="8.21875" style="399" customWidth="1"/>
    <col min="8187" max="8187" width="7.44140625" style="399" bestFit="1" customWidth="1"/>
    <col min="8188" max="8188" width="52" style="399" bestFit="1" customWidth="1"/>
    <col min="8189" max="8221" width="12.21875" style="399" customWidth="1"/>
    <col min="8222" max="8222" width="13" style="399" customWidth="1"/>
    <col min="8223" max="8223" width="14.21875" style="399" customWidth="1"/>
    <col min="8224" max="8228" width="16.44140625" style="399" customWidth="1"/>
    <col min="8229" max="8239" width="12.21875" style="399" customWidth="1"/>
    <col min="8240" max="8240" width="9.21875" style="399"/>
    <col min="8241" max="8241" width="11.21875" style="399" customWidth="1"/>
    <col min="8242" max="8242" width="11.21875" style="399" bestFit="1" customWidth="1"/>
    <col min="8243" max="8243" width="14.44140625" style="399" bestFit="1" customWidth="1"/>
    <col min="8244" max="8244" width="9.21875" style="399"/>
    <col min="8245" max="8245" width="11" style="399" customWidth="1"/>
    <col min="8246" max="8247" width="9.21875" style="399"/>
    <col min="8248" max="8248" width="10.77734375" style="399" customWidth="1"/>
    <col min="8249" max="8440" width="9.21875" style="399"/>
    <col min="8441" max="8441" width="7.44140625" style="399" customWidth="1"/>
    <col min="8442" max="8442" width="8.21875" style="399" customWidth="1"/>
    <col min="8443" max="8443" width="7.44140625" style="399" bestFit="1" customWidth="1"/>
    <col min="8444" max="8444" width="52" style="399" bestFit="1" customWidth="1"/>
    <col min="8445" max="8477" width="12.21875" style="399" customWidth="1"/>
    <col min="8478" max="8478" width="13" style="399" customWidth="1"/>
    <col min="8479" max="8479" width="14.21875" style="399" customWidth="1"/>
    <col min="8480" max="8484" width="16.44140625" style="399" customWidth="1"/>
    <col min="8485" max="8495" width="12.21875" style="399" customWidth="1"/>
    <col min="8496" max="8496" width="9.21875" style="399"/>
    <col min="8497" max="8497" width="11.21875" style="399" customWidth="1"/>
    <col min="8498" max="8498" width="11.21875" style="399" bestFit="1" customWidth="1"/>
    <col min="8499" max="8499" width="14.44140625" style="399" bestFit="1" customWidth="1"/>
    <col min="8500" max="8500" width="9.21875" style="399"/>
    <col min="8501" max="8501" width="11" style="399" customWidth="1"/>
    <col min="8502" max="8503" width="9.21875" style="399"/>
    <col min="8504" max="8504" width="10.77734375" style="399" customWidth="1"/>
    <col min="8505" max="8696" width="9.21875" style="399"/>
    <col min="8697" max="8697" width="7.44140625" style="399" customWidth="1"/>
    <col min="8698" max="8698" width="8.21875" style="399" customWidth="1"/>
    <col min="8699" max="8699" width="7.44140625" style="399" bestFit="1" customWidth="1"/>
    <col min="8700" max="8700" width="52" style="399" bestFit="1" customWidth="1"/>
    <col min="8701" max="8733" width="12.21875" style="399" customWidth="1"/>
    <col min="8734" max="8734" width="13" style="399" customWidth="1"/>
    <col min="8735" max="8735" width="14.21875" style="399" customWidth="1"/>
    <col min="8736" max="8740" width="16.44140625" style="399" customWidth="1"/>
    <col min="8741" max="8751" width="12.21875" style="399" customWidth="1"/>
    <col min="8752" max="8752" width="9.21875" style="399"/>
    <col min="8753" max="8753" width="11.21875" style="399" customWidth="1"/>
    <col min="8754" max="8754" width="11.21875" style="399" bestFit="1" customWidth="1"/>
    <col min="8755" max="8755" width="14.44140625" style="399" bestFit="1" customWidth="1"/>
    <col min="8756" max="8756" width="9.21875" style="399"/>
    <col min="8757" max="8757" width="11" style="399" customWidth="1"/>
    <col min="8758" max="8759" width="9.21875" style="399"/>
    <col min="8760" max="8760" width="10.77734375" style="399" customWidth="1"/>
    <col min="8761" max="8952" width="9.21875" style="399"/>
    <col min="8953" max="8953" width="7.44140625" style="399" customWidth="1"/>
    <col min="8954" max="8954" width="8.21875" style="399" customWidth="1"/>
    <col min="8955" max="8955" width="7.44140625" style="399" bestFit="1" customWidth="1"/>
    <col min="8956" max="8956" width="52" style="399" bestFit="1" customWidth="1"/>
    <col min="8957" max="8989" width="12.21875" style="399" customWidth="1"/>
    <col min="8990" max="8990" width="13" style="399" customWidth="1"/>
    <col min="8991" max="8991" width="14.21875" style="399" customWidth="1"/>
    <col min="8992" max="8996" width="16.44140625" style="399" customWidth="1"/>
    <col min="8997" max="9007" width="12.21875" style="399" customWidth="1"/>
    <col min="9008" max="9008" width="9.21875" style="399"/>
    <col min="9009" max="9009" width="11.21875" style="399" customWidth="1"/>
    <col min="9010" max="9010" width="11.21875" style="399" bestFit="1" customWidth="1"/>
    <col min="9011" max="9011" width="14.44140625" style="399" bestFit="1" customWidth="1"/>
    <col min="9012" max="9012" width="9.21875" style="399"/>
    <col min="9013" max="9013" width="11" style="399" customWidth="1"/>
    <col min="9014" max="9015" width="9.21875" style="399"/>
    <col min="9016" max="9016" width="10.77734375" style="399" customWidth="1"/>
    <col min="9017" max="9208" width="9.21875" style="399"/>
    <col min="9209" max="9209" width="7.44140625" style="399" customWidth="1"/>
    <col min="9210" max="9210" width="8.21875" style="399" customWidth="1"/>
    <col min="9211" max="9211" width="7.44140625" style="399" bestFit="1" customWidth="1"/>
    <col min="9212" max="9212" width="52" style="399" bestFit="1" customWidth="1"/>
    <col min="9213" max="9245" width="12.21875" style="399" customWidth="1"/>
    <col min="9246" max="9246" width="13" style="399" customWidth="1"/>
    <col min="9247" max="9247" width="14.21875" style="399" customWidth="1"/>
    <col min="9248" max="9252" width="16.44140625" style="399" customWidth="1"/>
    <col min="9253" max="9263" width="12.21875" style="399" customWidth="1"/>
    <col min="9264" max="9264" width="9.21875" style="399"/>
    <col min="9265" max="9265" width="11.21875" style="399" customWidth="1"/>
    <col min="9266" max="9266" width="11.21875" style="399" bestFit="1" customWidth="1"/>
    <col min="9267" max="9267" width="14.44140625" style="399" bestFit="1" customWidth="1"/>
    <col min="9268" max="9268" width="9.21875" style="399"/>
    <col min="9269" max="9269" width="11" style="399" customWidth="1"/>
    <col min="9270" max="9271" width="9.21875" style="399"/>
    <col min="9272" max="9272" width="10.77734375" style="399" customWidth="1"/>
    <col min="9273" max="9464" width="9.21875" style="399"/>
    <col min="9465" max="9465" width="7.44140625" style="399" customWidth="1"/>
    <col min="9466" max="9466" width="8.21875" style="399" customWidth="1"/>
    <col min="9467" max="9467" width="7.44140625" style="399" bestFit="1" customWidth="1"/>
    <col min="9468" max="9468" width="52" style="399" bestFit="1" customWidth="1"/>
    <col min="9469" max="9501" width="12.21875" style="399" customWidth="1"/>
    <col min="9502" max="9502" width="13" style="399" customWidth="1"/>
    <col min="9503" max="9503" width="14.21875" style="399" customWidth="1"/>
    <col min="9504" max="9508" width="16.44140625" style="399" customWidth="1"/>
    <col min="9509" max="9519" width="12.21875" style="399" customWidth="1"/>
    <col min="9520" max="9520" width="9.21875" style="399"/>
    <col min="9521" max="9521" width="11.21875" style="399" customWidth="1"/>
    <col min="9522" max="9522" width="11.21875" style="399" bestFit="1" customWidth="1"/>
    <col min="9523" max="9523" width="14.44140625" style="399" bestFit="1" customWidth="1"/>
    <col min="9524" max="9524" width="9.21875" style="399"/>
    <col min="9525" max="9525" width="11" style="399" customWidth="1"/>
    <col min="9526" max="9527" width="9.21875" style="399"/>
    <col min="9528" max="9528" width="10.77734375" style="399" customWidth="1"/>
    <col min="9529" max="9720" width="9.21875" style="399"/>
    <col min="9721" max="9721" width="7.44140625" style="399" customWidth="1"/>
    <col min="9722" max="9722" width="8.21875" style="399" customWidth="1"/>
    <col min="9723" max="9723" width="7.44140625" style="399" bestFit="1" customWidth="1"/>
    <col min="9724" max="9724" width="52" style="399" bestFit="1" customWidth="1"/>
    <col min="9725" max="9757" width="12.21875" style="399" customWidth="1"/>
    <col min="9758" max="9758" width="13" style="399" customWidth="1"/>
    <col min="9759" max="9759" width="14.21875" style="399" customWidth="1"/>
    <col min="9760" max="9764" width="16.44140625" style="399" customWidth="1"/>
    <col min="9765" max="9775" width="12.21875" style="399" customWidth="1"/>
    <col min="9776" max="9776" width="9.21875" style="399"/>
    <col min="9777" max="9777" width="11.21875" style="399" customWidth="1"/>
    <col min="9778" max="9778" width="11.21875" style="399" bestFit="1" customWidth="1"/>
    <col min="9779" max="9779" width="14.44140625" style="399" bestFit="1" customWidth="1"/>
    <col min="9780" max="9780" width="9.21875" style="399"/>
    <col min="9781" max="9781" width="11" style="399" customWidth="1"/>
    <col min="9782" max="9783" width="9.21875" style="399"/>
    <col min="9784" max="9784" width="10.77734375" style="399" customWidth="1"/>
    <col min="9785" max="9976" width="9.21875" style="399"/>
    <col min="9977" max="9977" width="7.44140625" style="399" customWidth="1"/>
    <col min="9978" max="9978" width="8.21875" style="399" customWidth="1"/>
    <col min="9979" max="9979" width="7.44140625" style="399" bestFit="1" customWidth="1"/>
    <col min="9980" max="9980" width="52" style="399" bestFit="1" customWidth="1"/>
    <col min="9981" max="10013" width="12.21875" style="399" customWidth="1"/>
    <col min="10014" max="10014" width="13" style="399" customWidth="1"/>
    <col min="10015" max="10015" width="14.21875" style="399" customWidth="1"/>
    <col min="10016" max="10020" width="16.44140625" style="399" customWidth="1"/>
    <col min="10021" max="10031" width="12.21875" style="399" customWidth="1"/>
    <col min="10032" max="10032" width="9.21875" style="399"/>
    <col min="10033" max="10033" width="11.21875" style="399" customWidth="1"/>
    <col min="10034" max="10034" width="11.21875" style="399" bestFit="1" customWidth="1"/>
    <col min="10035" max="10035" width="14.44140625" style="399" bestFit="1" customWidth="1"/>
    <col min="10036" max="10036" width="9.21875" style="399"/>
    <col min="10037" max="10037" width="11" style="399" customWidth="1"/>
    <col min="10038" max="10039" width="9.21875" style="399"/>
    <col min="10040" max="10040" width="10.77734375" style="399" customWidth="1"/>
    <col min="10041" max="10232" width="9.21875" style="399"/>
    <col min="10233" max="10233" width="7.44140625" style="399" customWidth="1"/>
    <col min="10234" max="10234" width="8.21875" style="399" customWidth="1"/>
    <col min="10235" max="10235" width="7.44140625" style="399" bestFit="1" customWidth="1"/>
    <col min="10236" max="10236" width="52" style="399" bestFit="1" customWidth="1"/>
    <col min="10237" max="10269" width="12.21875" style="399" customWidth="1"/>
    <col min="10270" max="10270" width="13" style="399" customWidth="1"/>
    <col min="10271" max="10271" width="14.21875" style="399" customWidth="1"/>
    <col min="10272" max="10276" width="16.44140625" style="399" customWidth="1"/>
    <col min="10277" max="10287" width="12.21875" style="399" customWidth="1"/>
    <col min="10288" max="10288" width="9.21875" style="399"/>
    <col min="10289" max="10289" width="11.21875" style="399" customWidth="1"/>
    <col min="10290" max="10290" width="11.21875" style="399" bestFit="1" customWidth="1"/>
    <col min="10291" max="10291" width="14.44140625" style="399" bestFit="1" customWidth="1"/>
    <col min="10292" max="10292" width="9.21875" style="399"/>
    <col min="10293" max="10293" width="11" style="399" customWidth="1"/>
    <col min="10294" max="10295" width="9.21875" style="399"/>
    <col min="10296" max="10296" width="10.77734375" style="399" customWidth="1"/>
    <col min="10297" max="10488" width="9.21875" style="399"/>
    <col min="10489" max="10489" width="7.44140625" style="399" customWidth="1"/>
    <col min="10490" max="10490" width="8.21875" style="399" customWidth="1"/>
    <col min="10491" max="10491" width="7.44140625" style="399" bestFit="1" customWidth="1"/>
    <col min="10492" max="10492" width="52" style="399" bestFit="1" customWidth="1"/>
    <col min="10493" max="10525" width="12.21875" style="399" customWidth="1"/>
    <col min="10526" max="10526" width="13" style="399" customWidth="1"/>
    <col min="10527" max="10527" width="14.21875" style="399" customWidth="1"/>
    <col min="10528" max="10532" width="16.44140625" style="399" customWidth="1"/>
    <col min="10533" max="10543" width="12.21875" style="399" customWidth="1"/>
    <col min="10544" max="10544" width="9.21875" style="399"/>
    <col min="10545" max="10545" width="11.21875" style="399" customWidth="1"/>
    <col min="10546" max="10546" width="11.21875" style="399" bestFit="1" customWidth="1"/>
    <col min="10547" max="10547" width="14.44140625" style="399" bestFit="1" customWidth="1"/>
    <col min="10548" max="10548" width="9.21875" style="399"/>
    <col min="10549" max="10549" width="11" style="399" customWidth="1"/>
    <col min="10550" max="10551" width="9.21875" style="399"/>
    <col min="10552" max="10552" width="10.77734375" style="399" customWidth="1"/>
    <col min="10553" max="10744" width="9.21875" style="399"/>
    <col min="10745" max="10745" width="7.44140625" style="399" customWidth="1"/>
    <col min="10746" max="10746" width="8.21875" style="399" customWidth="1"/>
    <col min="10747" max="10747" width="7.44140625" style="399" bestFit="1" customWidth="1"/>
    <col min="10748" max="10748" width="52" style="399" bestFit="1" customWidth="1"/>
    <col min="10749" max="10781" width="12.21875" style="399" customWidth="1"/>
    <col min="10782" max="10782" width="13" style="399" customWidth="1"/>
    <col min="10783" max="10783" width="14.21875" style="399" customWidth="1"/>
    <col min="10784" max="10788" width="16.44140625" style="399" customWidth="1"/>
    <col min="10789" max="10799" width="12.21875" style="399" customWidth="1"/>
    <col min="10800" max="10800" width="9.21875" style="399"/>
    <col min="10801" max="10801" width="11.21875" style="399" customWidth="1"/>
    <col min="10802" max="10802" width="11.21875" style="399" bestFit="1" customWidth="1"/>
    <col min="10803" max="10803" width="14.44140625" style="399" bestFit="1" customWidth="1"/>
    <col min="10804" max="10804" width="9.21875" style="399"/>
    <col min="10805" max="10805" width="11" style="399" customWidth="1"/>
    <col min="10806" max="10807" width="9.21875" style="399"/>
    <col min="10808" max="10808" width="10.77734375" style="399" customWidth="1"/>
    <col min="10809" max="11000" width="9.21875" style="399"/>
    <col min="11001" max="11001" width="7.44140625" style="399" customWidth="1"/>
    <col min="11002" max="11002" width="8.21875" style="399" customWidth="1"/>
    <col min="11003" max="11003" width="7.44140625" style="399" bestFit="1" customWidth="1"/>
    <col min="11004" max="11004" width="52" style="399" bestFit="1" customWidth="1"/>
    <col min="11005" max="11037" width="12.21875" style="399" customWidth="1"/>
    <col min="11038" max="11038" width="13" style="399" customWidth="1"/>
    <col min="11039" max="11039" width="14.21875" style="399" customWidth="1"/>
    <col min="11040" max="11044" width="16.44140625" style="399" customWidth="1"/>
    <col min="11045" max="11055" width="12.21875" style="399" customWidth="1"/>
    <col min="11056" max="11056" width="9.21875" style="399"/>
    <col min="11057" max="11057" width="11.21875" style="399" customWidth="1"/>
    <col min="11058" max="11058" width="11.21875" style="399" bestFit="1" customWidth="1"/>
    <col min="11059" max="11059" width="14.44140625" style="399" bestFit="1" customWidth="1"/>
    <col min="11060" max="11060" width="9.21875" style="399"/>
    <col min="11061" max="11061" width="11" style="399" customWidth="1"/>
    <col min="11062" max="11063" width="9.21875" style="399"/>
    <col min="11064" max="11064" width="10.77734375" style="399" customWidth="1"/>
    <col min="11065" max="11256" width="9.21875" style="399"/>
    <col min="11257" max="11257" width="7.44140625" style="399" customWidth="1"/>
    <col min="11258" max="11258" width="8.21875" style="399" customWidth="1"/>
    <col min="11259" max="11259" width="7.44140625" style="399" bestFit="1" customWidth="1"/>
    <col min="11260" max="11260" width="52" style="399" bestFit="1" customWidth="1"/>
    <col min="11261" max="11293" width="12.21875" style="399" customWidth="1"/>
    <col min="11294" max="11294" width="13" style="399" customWidth="1"/>
    <col min="11295" max="11295" width="14.21875" style="399" customWidth="1"/>
    <col min="11296" max="11300" width="16.44140625" style="399" customWidth="1"/>
    <col min="11301" max="11311" width="12.21875" style="399" customWidth="1"/>
    <col min="11312" max="11312" width="9.21875" style="399"/>
    <col min="11313" max="11313" width="11.21875" style="399" customWidth="1"/>
    <col min="11314" max="11314" width="11.21875" style="399" bestFit="1" customWidth="1"/>
    <col min="11315" max="11315" width="14.44140625" style="399" bestFit="1" customWidth="1"/>
    <col min="11316" max="11316" width="9.21875" style="399"/>
    <col min="11317" max="11317" width="11" style="399" customWidth="1"/>
    <col min="11318" max="11319" width="9.21875" style="399"/>
    <col min="11320" max="11320" width="10.77734375" style="399" customWidth="1"/>
    <col min="11321" max="11512" width="9.21875" style="399"/>
    <col min="11513" max="11513" width="7.44140625" style="399" customWidth="1"/>
    <col min="11514" max="11514" width="8.21875" style="399" customWidth="1"/>
    <col min="11515" max="11515" width="7.44140625" style="399" bestFit="1" customWidth="1"/>
    <col min="11516" max="11516" width="52" style="399" bestFit="1" customWidth="1"/>
    <col min="11517" max="11549" width="12.21875" style="399" customWidth="1"/>
    <col min="11550" max="11550" width="13" style="399" customWidth="1"/>
    <col min="11551" max="11551" width="14.21875" style="399" customWidth="1"/>
    <col min="11552" max="11556" width="16.44140625" style="399" customWidth="1"/>
    <col min="11557" max="11567" width="12.21875" style="399" customWidth="1"/>
    <col min="11568" max="11568" width="9.21875" style="399"/>
    <col min="11569" max="11569" width="11.21875" style="399" customWidth="1"/>
    <col min="11570" max="11570" width="11.21875" style="399" bestFit="1" customWidth="1"/>
    <col min="11571" max="11571" width="14.44140625" style="399" bestFit="1" customWidth="1"/>
    <col min="11572" max="11572" width="9.21875" style="399"/>
    <col min="11573" max="11573" width="11" style="399" customWidth="1"/>
    <col min="11574" max="11575" width="9.21875" style="399"/>
    <col min="11576" max="11576" width="10.77734375" style="399" customWidth="1"/>
    <col min="11577" max="11768" width="9.21875" style="399"/>
    <col min="11769" max="11769" width="7.44140625" style="399" customWidth="1"/>
    <col min="11770" max="11770" width="8.21875" style="399" customWidth="1"/>
    <col min="11771" max="11771" width="7.44140625" style="399" bestFit="1" customWidth="1"/>
    <col min="11772" max="11772" width="52" style="399" bestFit="1" customWidth="1"/>
    <col min="11773" max="11805" width="12.21875" style="399" customWidth="1"/>
    <col min="11806" max="11806" width="13" style="399" customWidth="1"/>
    <col min="11807" max="11807" width="14.21875" style="399" customWidth="1"/>
    <col min="11808" max="11812" width="16.44140625" style="399" customWidth="1"/>
    <col min="11813" max="11823" width="12.21875" style="399" customWidth="1"/>
    <col min="11824" max="11824" width="9.21875" style="399"/>
    <col min="11825" max="11825" width="11.21875" style="399" customWidth="1"/>
    <col min="11826" max="11826" width="11.21875" style="399" bestFit="1" customWidth="1"/>
    <col min="11827" max="11827" width="14.44140625" style="399" bestFit="1" customWidth="1"/>
    <col min="11828" max="11828" width="9.21875" style="399"/>
    <col min="11829" max="11829" width="11" style="399" customWidth="1"/>
    <col min="11830" max="11831" width="9.21875" style="399"/>
    <col min="11832" max="11832" width="10.77734375" style="399" customWidth="1"/>
    <col min="11833" max="12024" width="9.21875" style="399"/>
    <col min="12025" max="12025" width="7.44140625" style="399" customWidth="1"/>
    <col min="12026" max="12026" width="8.21875" style="399" customWidth="1"/>
    <col min="12027" max="12027" width="7.44140625" style="399" bestFit="1" customWidth="1"/>
    <col min="12028" max="12028" width="52" style="399" bestFit="1" customWidth="1"/>
    <col min="12029" max="12061" width="12.21875" style="399" customWidth="1"/>
    <col min="12062" max="12062" width="13" style="399" customWidth="1"/>
    <col min="12063" max="12063" width="14.21875" style="399" customWidth="1"/>
    <col min="12064" max="12068" width="16.44140625" style="399" customWidth="1"/>
    <col min="12069" max="12079" width="12.21875" style="399" customWidth="1"/>
    <col min="12080" max="12080" width="9.21875" style="399"/>
    <col min="12081" max="12081" width="11.21875" style="399" customWidth="1"/>
    <col min="12082" max="12082" width="11.21875" style="399" bestFit="1" customWidth="1"/>
    <col min="12083" max="12083" width="14.44140625" style="399" bestFit="1" customWidth="1"/>
    <col min="12084" max="12084" width="9.21875" style="399"/>
    <col min="12085" max="12085" width="11" style="399" customWidth="1"/>
    <col min="12086" max="12087" width="9.21875" style="399"/>
    <col min="12088" max="12088" width="10.77734375" style="399" customWidth="1"/>
    <col min="12089" max="12280" width="9.21875" style="399"/>
    <col min="12281" max="12281" width="7.44140625" style="399" customWidth="1"/>
    <col min="12282" max="12282" width="8.21875" style="399" customWidth="1"/>
    <col min="12283" max="12283" width="7.44140625" style="399" bestFit="1" customWidth="1"/>
    <col min="12284" max="12284" width="52" style="399" bestFit="1" customWidth="1"/>
    <col min="12285" max="12317" width="12.21875" style="399" customWidth="1"/>
    <col min="12318" max="12318" width="13" style="399" customWidth="1"/>
    <col min="12319" max="12319" width="14.21875" style="399" customWidth="1"/>
    <col min="12320" max="12324" width="16.44140625" style="399" customWidth="1"/>
    <col min="12325" max="12335" width="12.21875" style="399" customWidth="1"/>
    <col min="12336" max="12336" width="9.21875" style="399"/>
    <col min="12337" max="12337" width="11.21875" style="399" customWidth="1"/>
    <col min="12338" max="12338" width="11.21875" style="399" bestFit="1" customWidth="1"/>
    <col min="12339" max="12339" width="14.44140625" style="399" bestFit="1" customWidth="1"/>
    <col min="12340" max="12340" width="9.21875" style="399"/>
    <col min="12341" max="12341" width="11" style="399" customWidth="1"/>
    <col min="12342" max="12343" width="9.21875" style="399"/>
    <col min="12344" max="12344" width="10.77734375" style="399" customWidth="1"/>
    <col min="12345" max="12536" width="9.21875" style="399"/>
    <col min="12537" max="12537" width="7.44140625" style="399" customWidth="1"/>
    <col min="12538" max="12538" width="8.21875" style="399" customWidth="1"/>
    <col min="12539" max="12539" width="7.44140625" style="399" bestFit="1" customWidth="1"/>
    <col min="12540" max="12540" width="52" style="399" bestFit="1" customWidth="1"/>
    <col min="12541" max="12573" width="12.21875" style="399" customWidth="1"/>
    <col min="12574" max="12574" width="13" style="399" customWidth="1"/>
    <col min="12575" max="12575" width="14.21875" style="399" customWidth="1"/>
    <col min="12576" max="12580" width="16.44140625" style="399" customWidth="1"/>
    <col min="12581" max="12591" width="12.21875" style="399" customWidth="1"/>
    <col min="12592" max="12592" width="9.21875" style="399"/>
    <col min="12593" max="12593" width="11.21875" style="399" customWidth="1"/>
    <col min="12594" max="12594" width="11.21875" style="399" bestFit="1" customWidth="1"/>
    <col min="12595" max="12595" width="14.44140625" style="399" bestFit="1" customWidth="1"/>
    <col min="12596" max="12596" width="9.21875" style="399"/>
    <col min="12597" max="12597" width="11" style="399" customWidth="1"/>
    <col min="12598" max="12599" width="9.21875" style="399"/>
    <col min="12600" max="12600" width="10.77734375" style="399" customWidth="1"/>
    <col min="12601" max="12792" width="9.21875" style="399"/>
    <col min="12793" max="12793" width="7.44140625" style="399" customWidth="1"/>
    <col min="12794" max="12794" width="8.21875" style="399" customWidth="1"/>
    <col min="12795" max="12795" width="7.44140625" style="399" bestFit="1" customWidth="1"/>
    <col min="12796" max="12796" width="52" style="399" bestFit="1" customWidth="1"/>
    <col min="12797" max="12829" width="12.21875" style="399" customWidth="1"/>
    <col min="12830" max="12830" width="13" style="399" customWidth="1"/>
    <col min="12831" max="12831" width="14.21875" style="399" customWidth="1"/>
    <col min="12832" max="12836" width="16.44140625" style="399" customWidth="1"/>
    <col min="12837" max="12847" width="12.21875" style="399" customWidth="1"/>
    <col min="12848" max="12848" width="9.21875" style="399"/>
    <col min="12849" max="12849" width="11.21875" style="399" customWidth="1"/>
    <col min="12850" max="12850" width="11.21875" style="399" bestFit="1" customWidth="1"/>
    <col min="12851" max="12851" width="14.44140625" style="399" bestFit="1" customWidth="1"/>
    <col min="12852" max="12852" width="9.21875" style="399"/>
    <col min="12853" max="12853" width="11" style="399" customWidth="1"/>
    <col min="12854" max="12855" width="9.21875" style="399"/>
    <col min="12856" max="12856" width="10.77734375" style="399" customWidth="1"/>
    <col min="12857" max="13048" width="9.21875" style="399"/>
    <col min="13049" max="13049" width="7.44140625" style="399" customWidth="1"/>
    <col min="13050" max="13050" width="8.21875" style="399" customWidth="1"/>
    <col min="13051" max="13051" width="7.44140625" style="399" bestFit="1" customWidth="1"/>
    <col min="13052" max="13052" width="52" style="399" bestFit="1" customWidth="1"/>
    <col min="13053" max="13085" width="12.21875" style="399" customWidth="1"/>
    <col min="13086" max="13086" width="13" style="399" customWidth="1"/>
    <col min="13087" max="13087" width="14.21875" style="399" customWidth="1"/>
    <col min="13088" max="13092" width="16.44140625" style="399" customWidth="1"/>
    <col min="13093" max="13103" width="12.21875" style="399" customWidth="1"/>
    <col min="13104" max="13104" width="9.21875" style="399"/>
    <col min="13105" max="13105" width="11.21875" style="399" customWidth="1"/>
    <col min="13106" max="13106" width="11.21875" style="399" bestFit="1" customWidth="1"/>
    <col min="13107" max="13107" width="14.44140625" style="399" bestFit="1" customWidth="1"/>
    <col min="13108" max="13108" width="9.21875" style="399"/>
    <col min="13109" max="13109" width="11" style="399" customWidth="1"/>
    <col min="13110" max="13111" width="9.21875" style="399"/>
    <col min="13112" max="13112" width="10.77734375" style="399" customWidth="1"/>
    <col min="13113" max="13304" width="9.21875" style="399"/>
    <col min="13305" max="13305" width="7.44140625" style="399" customWidth="1"/>
    <col min="13306" max="13306" width="8.21875" style="399" customWidth="1"/>
    <col min="13307" max="13307" width="7.44140625" style="399" bestFit="1" customWidth="1"/>
    <col min="13308" max="13308" width="52" style="399" bestFit="1" customWidth="1"/>
    <col min="13309" max="13341" width="12.21875" style="399" customWidth="1"/>
    <col min="13342" max="13342" width="13" style="399" customWidth="1"/>
    <col min="13343" max="13343" width="14.21875" style="399" customWidth="1"/>
    <col min="13344" max="13348" width="16.44140625" style="399" customWidth="1"/>
    <col min="13349" max="13359" width="12.21875" style="399" customWidth="1"/>
    <col min="13360" max="13360" width="9.21875" style="399"/>
    <col min="13361" max="13361" width="11.21875" style="399" customWidth="1"/>
    <col min="13362" max="13362" width="11.21875" style="399" bestFit="1" customWidth="1"/>
    <col min="13363" max="13363" width="14.44140625" style="399" bestFit="1" customWidth="1"/>
    <col min="13364" max="13364" width="9.21875" style="399"/>
    <col min="13365" max="13365" width="11" style="399" customWidth="1"/>
    <col min="13366" max="13367" width="9.21875" style="399"/>
    <col min="13368" max="13368" width="10.77734375" style="399" customWidth="1"/>
    <col min="13369" max="13560" width="9.21875" style="399"/>
    <col min="13561" max="13561" width="7.44140625" style="399" customWidth="1"/>
    <col min="13562" max="13562" width="8.21875" style="399" customWidth="1"/>
    <col min="13563" max="13563" width="7.44140625" style="399" bestFit="1" customWidth="1"/>
    <col min="13564" max="13564" width="52" style="399" bestFit="1" customWidth="1"/>
    <col min="13565" max="13597" width="12.21875" style="399" customWidth="1"/>
    <col min="13598" max="13598" width="13" style="399" customWidth="1"/>
    <col min="13599" max="13599" width="14.21875" style="399" customWidth="1"/>
    <col min="13600" max="13604" width="16.44140625" style="399" customWidth="1"/>
    <col min="13605" max="13615" width="12.21875" style="399" customWidth="1"/>
    <col min="13616" max="13616" width="9.21875" style="399"/>
    <col min="13617" max="13617" width="11.21875" style="399" customWidth="1"/>
    <col min="13618" max="13618" width="11.21875" style="399" bestFit="1" customWidth="1"/>
    <col min="13619" max="13619" width="14.44140625" style="399" bestFit="1" customWidth="1"/>
    <col min="13620" max="13620" width="9.21875" style="399"/>
    <col min="13621" max="13621" width="11" style="399" customWidth="1"/>
    <col min="13622" max="13623" width="9.21875" style="399"/>
    <col min="13624" max="13624" width="10.77734375" style="399" customWidth="1"/>
    <col min="13625" max="13816" width="9.21875" style="399"/>
    <col min="13817" max="13817" width="7.44140625" style="399" customWidth="1"/>
    <col min="13818" max="13818" width="8.21875" style="399" customWidth="1"/>
    <col min="13819" max="13819" width="7.44140625" style="399" bestFit="1" customWidth="1"/>
    <col min="13820" max="13820" width="52" style="399" bestFit="1" customWidth="1"/>
    <col min="13821" max="13853" width="12.21875" style="399" customWidth="1"/>
    <col min="13854" max="13854" width="13" style="399" customWidth="1"/>
    <col min="13855" max="13855" width="14.21875" style="399" customWidth="1"/>
    <col min="13856" max="13860" width="16.44140625" style="399" customWidth="1"/>
    <col min="13861" max="13871" width="12.21875" style="399" customWidth="1"/>
    <col min="13872" max="13872" width="9.21875" style="399"/>
    <col min="13873" max="13873" width="11.21875" style="399" customWidth="1"/>
    <col min="13874" max="13874" width="11.21875" style="399" bestFit="1" customWidth="1"/>
    <col min="13875" max="13875" width="14.44140625" style="399" bestFit="1" customWidth="1"/>
    <col min="13876" max="13876" width="9.21875" style="399"/>
    <col min="13877" max="13877" width="11" style="399" customWidth="1"/>
    <col min="13878" max="13879" width="9.21875" style="399"/>
    <col min="13880" max="13880" width="10.77734375" style="399" customWidth="1"/>
    <col min="13881" max="14072" width="9.21875" style="399"/>
    <col min="14073" max="14073" width="7.44140625" style="399" customWidth="1"/>
    <col min="14074" max="14074" width="8.21875" style="399" customWidth="1"/>
    <col min="14075" max="14075" width="7.44140625" style="399" bestFit="1" customWidth="1"/>
    <col min="14076" max="14076" width="52" style="399" bestFit="1" customWidth="1"/>
    <col min="14077" max="14109" width="12.21875" style="399" customWidth="1"/>
    <col min="14110" max="14110" width="13" style="399" customWidth="1"/>
    <col min="14111" max="14111" width="14.21875" style="399" customWidth="1"/>
    <col min="14112" max="14116" width="16.44140625" style="399" customWidth="1"/>
    <col min="14117" max="14127" width="12.21875" style="399" customWidth="1"/>
    <col min="14128" max="14128" width="9.21875" style="399"/>
    <col min="14129" max="14129" width="11.21875" style="399" customWidth="1"/>
    <col min="14130" max="14130" width="11.21875" style="399" bestFit="1" customWidth="1"/>
    <col min="14131" max="14131" width="14.44140625" style="399" bestFit="1" customWidth="1"/>
    <col min="14132" max="14132" width="9.21875" style="399"/>
    <col min="14133" max="14133" width="11" style="399" customWidth="1"/>
    <col min="14134" max="14135" width="9.21875" style="399"/>
    <col min="14136" max="14136" width="10.77734375" style="399" customWidth="1"/>
    <col min="14137" max="14328" width="9.21875" style="399"/>
    <col min="14329" max="14329" width="7.44140625" style="399" customWidth="1"/>
    <col min="14330" max="14330" width="8.21875" style="399" customWidth="1"/>
    <col min="14331" max="14331" width="7.44140625" style="399" bestFit="1" customWidth="1"/>
    <col min="14332" max="14332" width="52" style="399" bestFit="1" customWidth="1"/>
    <col min="14333" max="14365" width="12.21875" style="399" customWidth="1"/>
    <col min="14366" max="14366" width="13" style="399" customWidth="1"/>
    <col min="14367" max="14367" width="14.21875" style="399" customWidth="1"/>
    <col min="14368" max="14372" width="16.44140625" style="399" customWidth="1"/>
    <col min="14373" max="14383" width="12.21875" style="399" customWidth="1"/>
    <col min="14384" max="14384" width="9.21875" style="399"/>
    <col min="14385" max="14385" width="11.21875" style="399" customWidth="1"/>
    <col min="14386" max="14386" width="11.21875" style="399" bestFit="1" customWidth="1"/>
    <col min="14387" max="14387" width="14.44140625" style="399" bestFit="1" customWidth="1"/>
    <col min="14388" max="14388" width="9.21875" style="399"/>
    <col min="14389" max="14389" width="11" style="399" customWidth="1"/>
    <col min="14390" max="14391" width="9.21875" style="399"/>
    <col min="14392" max="14392" width="10.77734375" style="399" customWidth="1"/>
    <col min="14393" max="14584" width="9.21875" style="399"/>
    <col min="14585" max="14585" width="7.44140625" style="399" customWidth="1"/>
    <col min="14586" max="14586" width="8.21875" style="399" customWidth="1"/>
    <col min="14587" max="14587" width="7.44140625" style="399" bestFit="1" customWidth="1"/>
    <col min="14588" max="14588" width="52" style="399" bestFit="1" customWidth="1"/>
    <col min="14589" max="14621" width="12.21875" style="399" customWidth="1"/>
    <col min="14622" max="14622" width="13" style="399" customWidth="1"/>
    <col min="14623" max="14623" width="14.21875" style="399" customWidth="1"/>
    <col min="14624" max="14628" width="16.44140625" style="399" customWidth="1"/>
    <col min="14629" max="14639" width="12.21875" style="399" customWidth="1"/>
    <col min="14640" max="14640" width="9.21875" style="399"/>
    <col min="14641" max="14641" width="11.21875" style="399" customWidth="1"/>
    <col min="14642" max="14642" width="11.21875" style="399" bestFit="1" customWidth="1"/>
    <col min="14643" max="14643" width="14.44140625" style="399" bestFit="1" customWidth="1"/>
    <col min="14644" max="14644" width="9.21875" style="399"/>
    <col min="14645" max="14645" width="11" style="399" customWidth="1"/>
    <col min="14646" max="14647" width="9.21875" style="399"/>
    <col min="14648" max="14648" width="10.77734375" style="399" customWidth="1"/>
    <col min="14649" max="14840" width="9.21875" style="399"/>
    <col min="14841" max="14841" width="7.44140625" style="399" customWidth="1"/>
    <col min="14842" max="14842" width="8.21875" style="399" customWidth="1"/>
    <col min="14843" max="14843" width="7.44140625" style="399" bestFit="1" customWidth="1"/>
    <col min="14844" max="14844" width="52" style="399" bestFit="1" customWidth="1"/>
    <col min="14845" max="14877" width="12.21875" style="399" customWidth="1"/>
    <col min="14878" max="14878" width="13" style="399" customWidth="1"/>
    <col min="14879" max="14879" width="14.21875" style="399" customWidth="1"/>
    <col min="14880" max="14884" width="16.44140625" style="399" customWidth="1"/>
    <col min="14885" max="14895" width="12.21875" style="399" customWidth="1"/>
    <col min="14896" max="14896" width="9.21875" style="399"/>
    <col min="14897" max="14897" width="11.21875" style="399" customWidth="1"/>
    <col min="14898" max="14898" width="11.21875" style="399" bestFit="1" customWidth="1"/>
    <col min="14899" max="14899" width="14.44140625" style="399" bestFit="1" customWidth="1"/>
    <col min="14900" max="14900" width="9.21875" style="399"/>
    <col min="14901" max="14901" width="11" style="399" customWidth="1"/>
    <col min="14902" max="14903" width="9.21875" style="399"/>
    <col min="14904" max="14904" width="10.77734375" style="399" customWidth="1"/>
    <col min="14905" max="15096" width="9.21875" style="399"/>
    <col min="15097" max="15097" width="7.44140625" style="399" customWidth="1"/>
    <col min="15098" max="15098" width="8.21875" style="399" customWidth="1"/>
    <col min="15099" max="15099" width="7.44140625" style="399" bestFit="1" customWidth="1"/>
    <col min="15100" max="15100" width="52" style="399" bestFit="1" customWidth="1"/>
    <col min="15101" max="15133" width="12.21875" style="399" customWidth="1"/>
    <col min="15134" max="15134" width="13" style="399" customWidth="1"/>
    <col min="15135" max="15135" width="14.21875" style="399" customWidth="1"/>
    <col min="15136" max="15140" width="16.44140625" style="399" customWidth="1"/>
    <col min="15141" max="15151" width="12.21875" style="399" customWidth="1"/>
    <col min="15152" max="15152" width="9.21875" style="399"/>
    <col min="15153" max="15153" width="11.21875" style="399" customWidth="1"/>
    <col min="15154" max="15154" width="11.21875" style="399" bestFit="1" customWidth="1"/>
    <col min="15155" max="15155" width="14.44140625" style="399" bestFit="1" customWidth="1"/>
    <col min="15156" max="15156" width="9.21875" style="399"/>
    <col min="15157" max="15157" width="11" style="399" customWidth="1"/>
    <col min="15158" max="15159" width="9.21875" style="399"/>
    <col min="15160" max="15160" width="10.77734375" style="399" customWidth="1"/>
    <col min="15161" max="15352" width="9.21875" style="399"/>
    <col min="15353" max="15353" width="7.44140625" style="399" customWidth="1"/>
    <col min="15354" max="15354" width="8.21875" style="399" customWidth="1"/>
    <col min="15355" max="15355" width="7.44140625" style="399" bestFit="1" customWidth="1"/>
    <col min="15356" max="15356" width="52" style="399" bestFit="1" customWidth="1"/>
    <col min="15357" max="15389" width="12.21875" style="399" customWidth="1"/>
    <col min="15390" max="15390" width="13" style="399" customWidth="1"/>
    <col min="15391" max="15391" width="14.21875" style="399" customWidth="1"/>
    <col min="15392" max="15396" width="16.44140625" style="399" customWidth="1"/>
    <col min="15397" max="15407" width="12.21875" style="399" customWidth="1"/>
    <col min="15408" max="15408" width="9.21875" style="399"/>
    <col min="15409" max="15409" width="11.21875" style="399" customWidth="1"/>
    <col min="15410" max="15410" width="11.21875" style="399" bestFit="1" customWidth="1"/>
    <col min="15411" max="15411" width="14.44140625" style="399" bestFit="1" customWidth="1"/>
    <col min="15412" max="15412" width="9.21875" style="399"/>
    <col min="15413" max="15413" width="11" style="399" customWidth="1"/>
    <col min="15414" max="15415" width="9.21875" style="399"/>
    <col min="15416" max="15416" width="10.77734375" style="399" customWidth="1"/>
    <col min="15417" max="15608" width="9.21875" style="399"/>
    <col min="15609" max="15609" width="7.44140625" style="399" customWidth="1"/>
    <col min="15610" max="15610" width="8.21875" style="399" customWidth="1"/>
    <col min="15611" max="15611" width="7.44140625" style="399" bestFit="1" customWidth="1"/>
    <col min="15612" max="15612" width="52" style="399" bestFit="1" customWidth="1"/>
    <col min="15613" max="15645" width="12.21875" style="399" customWidth="1"/>
    <col min="15646" max="15646" width="13" style="399" customWidth="1"/>
    <col min="15647" max="15647" width="14.21875" style="399" customWidth="1"/>
    <col min="15648" max="15652" width="16.44140625" style="399" customWidth="1"/>
    <col min="15653" max="15663" width="12.21875" style="399" customWidth="1"/>
    <col min="15664" max="15664" width="9.21875" style="399"/>
    <col min="15665" max="15665" width="11.21875" style="399" customWidth="1"/>
    <col min="15666" max="15666" width="11.21875" style="399" bestFit="1" customWidth="1"/>
    <col min="15667" max="15667" width="14.44140625" style="399" bestFit="1" customWidth="1"/>
    <col min="15668" max="15668" width="9.21875" style="399"/>
    <col min="15669" max="15669" width="11" style="399" customWidth="1"/>
    <col min="15670" max="15671" width="9.21875" style="399"/>
    <col min="15672" max="15672" width="10.77734375" style="399" customWidth="1"/>
    <col min="15673" max="15864" width="9.21875" style="399"/>
    <col min="15865" max="15865" width="7.44140625" style="399" customWidth="1"/>
    <col min="15866" max="15866" width="8.21875" style="399" customWidth="1"/>
    <col min="15867" max="15867" width="7.44140625" style="399" bestFit="1" customWidth="1"/>
    <col min="15868" max="15868" width="52" style="399" bestFit="1" customWidth="1"/>
    <col min="15869" max="15901" width="12.21875" style="399" customWidth="1"/>
    <col min="15902" max="15902" width="13" style="399" customWidth="1"/>
    <col min="15903" max="15903" width="14.21875" style="399" customWidth="1"/>
    <col min="15904" max="15908" width="16.44140625" style="399" customWidth="1"/>
    <col min="15909" max="15919" width="12.21875" style="399" customWidth="1"/>
    <col min="15920" max="15920" width="9.21875" style="399"/>
    <col min="15921" max="15921" width="11.21875" style="399" customWidth="1"/>
    <col min="15922" max="15922" width="11.21875" style="399" bestFit="1" customWidth="1"/>
    <col min="15923" max="15923" width="14.44140625" style="399" bestFit="1" customWidth="1"/>
    <col min="15924" max="15924" width="9.21875" style="399"/>
    <col min="15925" max="15925" width="11" style="399" customWidth="1"/>
    <col min="15926" max="15927" width="9.21875" style="399"/>
    <col min="15928" max="15928" width="10.77734375" style="399" customWidth="1"/>
    <col min="15929" max="16120" width="9.21875" style="399"/>
    <col min="16121" max="16121" width="7.44140625" style="399" customWidth="1"/>
    <col min="16122" max="16122" width="8.21875" style="399" customWidth="1"/>
    <col min="16123" max="16123" width="7.44140625" style="399" bestFit="1" customWidth="1"/>
    <col min="16124" max="16124" width="52" style="399" bestFit="1" customWidth="1"/>
    <col min="16125" max="16157" width="12.21875" style="399" customWidth="1"/>
    <col min="16158" max="16158" width="13" style="399" customWidth="1"/>
    <col min="16159" max="16159" width="14.21875" style="399" customWidth="1"/>
    <col min="16160" max="16164" width="16.44140625" style="399" customWidth="1"/>
    <col min="16165" max="16175" width="12.21875" style="399" customWidth="1"/>
    <col min="16176" max="16176" width="9.21875" style="399"/>
    <col min="16177" max="16177" width="11.21875" style="399" customWidth="1"/>
    <col min="16178" max="16178" width="11.21875" style="399" bestFit="1" customWidth="1"/>
    <col min="16179" max="16179" width="14.44140625" style="399" bestFit="1" customWidth="1"/>
    <col min="16180" max="16180" width="9.21875" style="399"/>
    <col min="16181" max="16181" width="11" style="399" customWidth="1"/>
    <col min="16182" max="16183" width="9.21875" style="399"/>
    <col min="16184" max="16184" width="10.77734375" style="399" customWidth="1"/>
    <col min="16185" max="16384" width="9.21875" style="399"/>
  </cols>
  <sheetData>
    <row r="1" spans="1:66" ht="22.5" customHeight="1" x14ac:dyDescent="0.25">
      <c r="A1" s="511"/>
      <c r="B1" s="516" t="s">
        <v>1459</v>
      </c>
      <c r="C1" s="511"/>
      <c r="D1" s="511"/>
      <c r="E1" s="511"/>
      <c r="F1" s="516"/>
      <c r="G1" s="517"/>
      <c r="H1" s="517"/>
      <c r="I1" s="517"/>
      <c r="J1" s="517"/>
      <c r="K1" s="518"/>
      <c r="L1" s="519"/>
      <c r="M1" s="519"/>
      <c r="N1" s="519"/>
      <c r="O1" s="519"/>
      <c r="P1" s="519"/>
      <c r="Q1" s="519"/>
      <c r="R1" s="519"/>
      <c r="S1" s="520" t="s">
        <v>1460</v>
      </c>
      <c r="T1" s="521"/>
      <c r="U1" s="521"/>
      <c r="V1" s="521"/>
      <c r="W1" s="521"/>
      <c r="X1" s="522"/>
      <c r="Y1" s="521"/>
      <c r="Z1" s="521"/>
      <c r="AA1" s="521"/>
      <c r="AB1" s="521"/>
      <c r="AC1" s="521"/>
      <c r="AD1" s="521"/>
      <c r="AE1" s="521"/>
      <c r="AF1" s="521"/>
      <c r="AG1" s="521"/>
      <c r="AH1" s="521"/>
      <c r="AI1" s="521"/>
      <c r="AJ1" s="521"/>
      <c r="AK1" s="521"/>
      <c r="AL1" s="523"/>
      <c r="AM1" s="519"/>
      <c r="AN1" s="519"/>
      <c r="AO1" s="523"/>
      <c r="AP1" s="523"/>
      <c r="AQ1" s="523"/>
      <c r="AR1" s="523"/>
      <c r="AS1" s="523"/>
      <c r="AT1" s="522"/>
      <c r="AU1" s="523"/>
      <c r="AV1" s="523"/>
      <c r="AW1" s="519"/>
      <c r="AX1" s="521"/>
      <c r="AY1" s="523"/>
      <c r="AZ1" s="519"/>
      <c r="BA1" s="519"/>
      <c r="BB1" s="519"/>
      <c r="BC1" s="516"/>
      <c r="BD1" s="517"/>
      <c r="BE1" s="517"/>
      <c r="BF1" s="511"/>
      <c r="BG1" s="511"/>
      <c r="BH1" s="559" t="s">
        <v>1461</v>
      </c>
      <c r="BI1" s="511"/>
      <c r="BJ1" s="511"/>
      <c r="BK1" s="511"/>
      <c r="BL1" s="511"/>
      <c r="BM1" s="511"/>
      <c r="BN1" s="511"/>
    </row>
    <row r="2" spans="1:66" ht="13.8" thickBot="1" x14ac:dyDescent="0.3">
      <c r="A2" s="511"/>
      <c r="B2" s="517">
        <v>1</v>
      </c>
      <c r="C2" s="517">
        <v>2</v>
      </c>
      <c r="D2" s="517">
        <v>3</v>
      </c>
      <c r="E2" s="517">
        <v>4</v>
      </c>
      <c r="F2" s="517">
        <v>5</v>
      </c>
      <c r="G2" s="517">
        <v>6</v>
      </c>
      <c r="H2" s="517">
        <v>7</v>
      </c>
      <c r="I2" s="517">
        <v>8</v>
      </c>
      <c r="J2" s="517">
        <v>9</v>
      </c>
      <c r="K2" s="517">
        <v>10</v>
      </c>
      <c r="L2" s="523">
        <v>11</v>
      </c>
      <c r="M2" s="523">
        <v>12</v>
      </c>
      <c r="N2" s="523">
        <v>13</v>
      </c>
      <c r="O2" s="523">
        <v>14</v>
      </c>
      <c r="P2" s="523">
        <v>15</v>
      </c>
      <c r="Q2" s="523">
        <v>16</v>
      </c>
      <c r="R2" s="523">
        <v>17</v>
      </c>
      <c r="S2" s="524">
        <v>18</v>
      </c>
      <c r="T2" s="523">
        <v>19</v>
      </c>
      <c r="U2" s="523">
        <v>20</v>
      </c>
      <c r="V2" s="523">
        <v>21</v>
      </c>
      <c r="W2" s="523">
        <v>22</v>
      </c>
      <c r="X2" s="525">
        <v>23</v>
      </c>
      <c r="Y2" s="523">
        <v>24</v>
      </c>
      <c r="Z2" s="523">
        <v>25</v>
      </c>
      <c r="AA2" s="523">
        <v>26</v>
      </c>
      <c r="AB2" s="523">
        <v>27</v>
      </c>
      <c r="AC2" s="523">
        <v>28</v>
      </c>
      <c r="AD2" s="523">
        <v>29</v>
      </c>
      <c r="AE2" s="523">
        <v>30</v>
      </c>
      <c r="AF2" s="523">
        <v>31</v>
      </c>
      <c r="AG2" s="523">
        <v>32</v>
      </c>
      <c r="AH2" s="523">
        <v>33</v>
      </c>
      <c r="AI2" s="523">
        <v>34</v>
      </c>
      <c r="AJ2" s="523">
        <v>35</v>
      </c>
      <c r="AK2" s="523">
        <v>36</v>
      </c>
      <c r="AL2" s="523">
        <v>37</v>
      </c>
      <c r="AM2" s="523">
        <v>38</v>
      </c>
      <c r="AN2" s="523">
        <v>39</v>
      </c>
      <c r="AO2" s="523">
        <v>40</v>
      </c>
      <c r="AP2" s="523">
        <v>41</v>
      </c>
      <c r="AQ2" s="523">
        <v>42</v>
      </c>
      <c r="AR2" s="523">
        <v>43</v>
      </c>
      <c r="AS2" s="523">
        <v>44</v>
      </c>
      <c r="AT2" s="525">
        <v>45</v>
      </c>
      <c r="AU2" s="523">
        <v>46</v>
      </c>
      <c r="AV2" s="523">
        <v>47</v>
      </c>
      <c r="AW2" s="523">
        <v>48</v>
      </c>
      <c r="AX2" s="523">
        <v>49</v>
      </c>
      <c r="AY2" s="523">
        <v>50</v>
      </c>
      <c r="AZ2" s="523">
        <v>51</v>
      </c>
      <c r="BA2" s="523">
        <v>52</v>
      </c>
      <c r="BB2" s="523">
        <v>53</v>
      </c>
      <c r="BC2" s="517">
        <v>54</v>
      </c>
      <c r="BD2" s="517">
        <v>55</v>
      </c>
      <c r="BE2" s="517">
        <v>56</v>
      </c>
      <c r="BF2" s="560">
        <v>57</v>
      </c>
      <c r="BG2" s="560">
        <v>58</v>
      </c>
      <c r="BH2" s="560">
        <v>59</v>
      </c>
      <c r="BI2" s="560">
        <v>60</v>
      </c>
      <c r="BJ2" s="560">
        <v>61</v>
      </c>
      <c r="BK2" s="560">
        <v>62</v>
      </c>
      <c r="BL2" s="560">
        <v>63</v>
      </c>
      <c r="BM2" s="560">
        <v>64</v>
      </c>
      <c r="BN2" s="559" t="s">
        <v>613</v>
      </c>
    </row>
    <row r="3" spans="1:66" ht="61.5" customHeight="1" thickBot="1" x14ac:dyDescent="0.3">
      <c r="A3" s="511"/>
      <c r="B3" s="526" t="s">
        <v>582</v>
      </c>
      <c r="C3" s="526" t="s">
        <v>583</v>
      </c>
      <c r="D3" s="526" t="s">
        <v>580</v>
      </c>
      <c r="E3" s="518" t="s">
        <v>584</v>
      </c>
      <c r="F3" s="527" t="s">
        <v>585</v>
      </c>
      <c r="G3" s="527" t="s">
        <v>586</v>
      </c>
      <c r="H3" s="528" t="s">
        <v>587</v>
      </c>
      <c r="I3" s="529" t="s">
        <v>21</v>
      </c>
      <c r="J3" s="529" t="s">
        <v>19</v>
      </c>
      <c r="K3" s="529" t="s">
        <v>20</v>
      </c>
      <c r="L3" s="530" t="s">
        <v>588</v>
      </c>
      <c r="M3" s="530" t="s">
        <v>589</v>
      </c>
      <c r="N3" s="530" t="s">
        <v>590</v>
      </c>
      <c r="O3" s="530" t="s">
        <v>591</v>
      </c>
      <c r="P3" s="530" t="s">
        <v>592</v>
      </c>
      <c r="Q3" s="530" t="s">
        <v>593</v>
      </c>
      <c r="R3" s="530" t="s">
        <v>594</v>
      </c>
      <c r="S3" s="531" t="s">
        <v>595</v>
      </c>
      <c r="T3" s="530" t="s">
        <v>596</v>
      </c>
      <c r="U3" s="530" t="s">
        <v>597</v>
      </c>
      <c r="V3" s="530" t="s">
        <v>598</v>
      </c>
      <c r="W3" s="530" t="s">
        <v>599</v>
      </c>
      <c r="X3" s="532" t="s">
        <v>600</v>
      </c>
      <c r="Y3" s="530" t="s">
        <v>601</v>
      </c>
      <c r="Z3" s="530" t="s">
        <v>602</v>
      </c>
      <c r="AA3" s="530" t="s">
        <v>9</v>
      </c>
      <c r="AB3" s="530" t="s">
        <v>603</v>
      </c>
      <c r="AC3" s="530" t="s">
        <v>11</v>
      </c>
      <c r="AD3" s="530" t="s">
        <v>24</v>
      </c>
      <c r="AE3" s="530" t="s">
        <v>25</v>
      </c>
      <c r="AF3" s="530" t="s">
        <v>27</v>
      </c>
      <c r="AG3" s="530" t="s">
        <v>604</v>
      </c>
      <c r="AH3" s="530" t="s">
        <v>605</v>
      </c>
      <c r="AI3" s="533" t="s">
        <v>14</v>
      </c>
      <c r="AJ3" s="533" t="s">
        <v>606</v>
      </c>
      <c r="AK3" s="533" t="s">
        <v>607</v>
      </c>
      <c r="AL3" s="533" t="s">
        <v>608</v>
      </c>
      <c r="AM3" s="534" t="s">
        <v>609</v>
      </c>
      <c r="AN3" s="534" t="s">
        <v>610</v>
      </c>
      <c r="AO3" s="533" t="s">
        <v>858</v>
      </c>
      <c r="AP3" s="535" t="s">
        <v>1462</v>
      </c>
      <c r="AQ3" s="535" t="s">
        <v>1463</v>
      </c>
      <c r="AR3" s="535" t="s">
        <v>1464</v>
      </c>
      <c r="AS3" s="535" t="s">
        <v>1465</v>
      </c>
      <c r="AT3" s="536" t="s">
        <v>1503</v>
      </c>
      <c r="AU3" s="533" t="s">
        <v>1466</v>
      </c>
      <c r="AV3" s="534" t="s">
        <v>864</v>
      </c>
      <c r="AW3" s="533" t="s">
        <v>1467</v>
      </c>
      <c r="AX3" s="533" t="s">
        <v>1468</v>
      </c>
      <c r="AY3" s="533" t="s">
        <v>1469</v>
      </c>
      <c r="AZ3" s="533" t="s">
        <v>1470</v>
      </c>
      <c r="BA3" s="533" t="s">
        <v>1471</v>
      </c>
      <c r="BB3" s="534"/>
      <c r="BC3" s="537" t="s">
        <v>611</v>
      </c>
      <c r="BD3" s="537" t="s">
        <v>612</v>
      </c>
      <c r="BE3" s="511"/>
      <c r="BF3" s="561" t="s">
        <v>6</v>
      </c>
      <c r="BG3" s="562" t="s">
        <v>67</v>
      </c>
      <c r="BH3" s="563" t="s">
        <v>68</v>
      </c>
      <c r="BI3" s="513" t="s">
        <v>70</v>
      </c>
      <c r="BJ3" s="559" t="s">
        <v>1472</v>
      </c>
      <c r="BK3" s="559" t="s">
        <v>1473</v>
      </c>
      <c r="BL3" s="511"/>
      <c r="BM3" s="559" t="s">
        <v>1474</v>
      </c>
      <c r="BN3" s="559" t="s">
        <v>1475</v>
      </c>
    </row>
    <row r="4" spans="1:66" ht="13.2" x14ac:dyDescent="0.25">
      <c r="A4" s="511"/>
      <c r="B4" s="526"/>
      <c r="C4" s="526"/>
      <c r="D4" s="526"/>
      <c r="E4" s="511"/>
      <c r="F4" s="518"/>
      <c r="G4" s="518"/>
      <c r="H4" s="518"/>
      <c r="I4" s="518"/>
      <c r="J4" s="518"/>
      <c r="K4" s="518"/>
      <c r="L4" s="519"/>
      <c r="M4" s="519"/>
      <c r="N4" s="519"/>
      <c r="O4" s="519"/>
      <c r="P4" s="519"/>
      <c r="Q4" s="519"/>
      <c r="R4" s="519"/>
      <c r="S4" s="538"/>
      <c r="T4" s="519"/>
      <c r="U4" s="519"/>
      <c r="V4" s="519"/>
      <c r="W4" s="519"/>
      <c r="X4" s="539"/>
      <c r="Y4" s="519"/>
      <c r="Z4" s="519"/>
      <c r="AA4" s="519"/>
      <c r="AB4" s="519"/>
      <c r="AC4" s="519"/>
      <c r="AD4" s="519"/>
      <c r="AE4" s="519"/>
      <c r="AF4" s="519"/>
      <c r="AG4" s="519"/>
      <c r="AH4" s="519"/>
      <c r="AI4" s="519"/>
      <c r="AJ4" s="519"/>
      <c r="AK4" s="519"/>
      <c r="AL4" s="519"/>
      <c r="AM4" s="519"/>
      <c r="AN4" s="519"/>
      <c r="AO4" s="519"/>
      <c r="AP4" s="519"/>
      <c r="AQ4" s="519"/>
      <c r="AR4" s="519"/>
      <c r="AS4" s="519"/>
      <c r="AT4" s="539"/>
      <c r="AU4" s="519"/>
      <c r="AV4" s="519"/>
      <c r="AW4" s="519"/>
      <c r="AX4" s="519"/>
      <c r="AY4" s="519"/>
      <c r="AZ4" s="519"/>
      <c r="BA4" s="519"/>
      <c r="BB4" s="519"/>
      <c r="BC4" s="518"/>
      <c r="BD4" s="518"/>
      <c r="BE4" s="518"/>
      <c r="BF4" s="564"/>
      <c r="BG4" s="564"/>
      <c r="BH4" s="564"/>
      <c r="BI4" s="564"/>
      <c r="BJ4" s="564"/>
      <c r="BK4" s="564"/>
      <c r="BL4" s="564"/>
      <c r="BM4" s="511"/>
      <c r="BN4" s="511"/>
    </row>
    <row r="5" spans="1:66" ht="13.2" x14ac:dyDescent="0.25">
      <c r="A5" s="515" t="s">
        <v>614</v>
      </c>
      <c r="B5" s="517">
        <v>1027</v>
      </c>
      <c r="C5" s="517" t="s">
        <v>100</v>
      </c>
      <c r="D5" s="517" t="s">
        <v>36</v>
      </c>
      <c r="E5" s="518" t="s">
        <v>615</v>
      </c>
      <c r="F5" s="540"/>
      <c r="G5" s="540"/>
      <c r="H5" s="540"/>
      <c r="I5" s="540">
        <v>0</v>
      </c>
      <c r="J5" s="540">
        <v>0</v>
      </c>
      <c r="K5" s="540">
        <v>4175</v>
      </c>
      <c r="L5" s="541">
        <v>0</v>
      </c>
      <c r="M5" s="541" t="s">
        <v>1476</v>
      </c>
      <c r="N5" s="541">
        <v>0</v>
      </c>
      <c r="O5" s="541">
        <v>0</v>
      </c>
      <c r="P5" s="541">
        <v>0</v>
      </c>
      <c r="Q5" s="541">
        <v>0</v>
      </c>
      <c r="R5" s="541">
        <v>0</v>
      </c>
      <c r="S5" s="542" t="s">
        <v>1476</v>
      </c>
      <c r="T5" s="541">
        <v>0</v>
      </c>
      <c r="U5" s="541">
        <v>0</v>
      </c>
      <c r="V5" s="541">
        <v>0</v>
      </c>
      <c r="W5" s="541" t="s">
        <v>1476</v>
      </c>
      <c r="X5" s="543" t="s">
        <v>1476</v>
      </c>
      <c r="Y5" s="541">
        <v>0</v>
      </c>
      <c r="Z5" s="541">
        <v>0</v>
      </c>
      <c r="AA5" s="541">
        <v>0</v>
      </c>
      <c r="AB5" s="541">
        <v>0</v>
      </c>
      <c r="AC5" s="541">
        <v>0</v>
      </c>
      <c r="AD5" s="541">
        <v>0</v>
      </c>
      <c r="AE5" s="541">
        <v>0</v>
      </c>
      <c r="AF5" s="541">
        <v>0</v>
      </c>
      <c r="AG5" s="541">
        <v>0</v>
      </c>
      <c r="AH5" s="541">
        <v>0</v>
      </c>
      <c r="AI5" s="541">
        <v>15943</v>
      </c>
      <c r="AJ5" s="541">
        <v>5643</v>
      </c>
      <c r="AK5" s="541">
        <v>0</v>
      </c>
      <c r="AL5" s="541">
        <v>0</v>
      </c>
      <c r="AM5" s="541">
        <v>0</v>
      </c>
      <c r="AN5" s="541">
        <v>0</v>
      </c>
      <c r="AO5" s="541">
        <v>0</v>
      </c>
      <c r="AP5" s="541">
        <v>0</v>
      </c>
      <c r="AQ5" s="541">
        <v>0</v>
      </c>
      <c r="AR5" s="541">
        <v>0</v>
      </c>
      <c r="AS5" s="541">
        <v>0</v>
      </c>
      <c r="AT5" s="543">
        <v>0</v>
      </c>
      <c r="AU5" s="541">
        <v>0</v>
      </c>
      <c r="AV5" s="541">
        <v>0</v>
      </c>
      <c r="AW5" s="541">
        <v>0</v>
      </c>
      <c r="AX5" s="541">
        <v>0</v>
      </c>
      <c r="AY5" s="541">
        <v>0</v>
      </c>
      <c r="AZ5" s="541">
        <v>0</v>
      </c>
      <c r="BA5" s="541">
        <v>0</v>
      </c>
      <c r="BB5" s="541">
        <v>0</v>
      </c>
      <c r="BC5" s="544">
        <v>25761</v>
      </c>
      <c r="BD5" s="544">
        <v>25761</v>
      </c>
      <c r="BE5" s="511"/>
      <c r="BF5" s="565">
        <v>21586</v>
      </c>
      <c r="BG5" s="565">
        <v>4175</v>
      </c>
      <c r="BH5" s="565">
        <v>0</v>
      </c>
      <c r="BI5" s="565">
        <v>0</v>
      </c>
      <c r="BJ5" s="565">
        <v>25761</v>
      </c>
      <c r="BK5" s="565">
        <v>0</v>
      </c>
      <c r="BL5" s="511"/>
      <c r="BM5" s="565">
        <v>0</v>
      </c>
      <c r="BN5" s="565">
        <v>0</v>
      </c>
    </row>
    <row r="6" spans="1:66" ht="13.2" x14ac:dyDescent="0.25">
      <c r="A6" s="515" t="s">
        <v>616</v>
      </c>
      <c r="B6" s="517">
        <v>1017</v>
      </c>
      <c r="C6" s="517" t="s">
        <v>105</v>
      </c>
      <c r="D6" s="517" t="s">
        <v>107</v>
      </c>
      <c r="E6" s="518" t="s">
        <v>617</v>
      </c>
      <c r="F6" s="540"/>
      <c r="G6" s="540"/>
      <c r="H6" s="540"/>
      <c r="I6" s="540">
        <v>26915.829999999998</v>
      </c>
      <c r="J6" s="540">
        <v>7008.6666666666661</v>
      </c>
      <c r="K6" s="540">
        <v>12914.997499999999</v>
      </c>
      <c r="L6" s="541">
        <v>17850</v>
      </c>
      <c r="M6" s="541" t="s">
        <v>1476</v>
      </c>
      <c r="N6" s="541">
        <v>0</v>
      </c>
      <c r="O6" s="541">
        <v>0</v>
      </c>
      <c r="P6" s="541">
        <v>0</v>
      </c>
      <c r="Q6" s="541">
        <v>13286.666666666668</v>
      </c>
      <c r="R6" s="541">
        <v>10629.333333333334</v>
      </c>
      <c r="S6" s="542">
        <v>37819.269999999997</v>
      </c>
      <c r="T6" s="541">
        <v>0</v>
      </c>
      <c r="U6" s="541">
        <v>0</v>
      </c>
      <c r="V6" s="541">
        <v>0</v>
      </c>
      <c r="W6" s="541" t="s">
        <v>1476</v>
      </c>
      <c r="X6" s="543" t="s">
        <v>1476</v>
      </c>
      <c r="Y6" s="541">
        <v>0</v>
      </c>
      <c r="Z6" s="541">
        <v>0</v>
      </c>
      <c r="AA6" s="541">
        <v>0</v>
      </c>
      <c r="AB6" s="541">
        <v>0</v>
      </c>
      <c r="AC6" s="541">
        <v>0</v>
      </c>
      <c r="AD6" s="541">
        <v>0</v>
      </c>
      <c r="AE6" s="541">
        <v>0</v>
      </c>
      <c r="AF6" s="541">
        <v>0</v>
      </c>
      <c r="AG6" s="541">
        <v>0</v>
      </c>
      <c r="AH6" s="541">
        <v>0</v>
      </c>
      <c r="AI6" s="541">
        <v>21922</v>
      </c>
      <c r="AJ6" s="541">
        <v>7758</v>
      </c>
      <c r="AK6" s="541">
        <v>0</v>
      </c>
      <c r="AL6" s="541">
        <v>0</v>
      </c>
      <c r="AM6" s="541">
        <v>0</v>
      </c>
      <c r="AN6" s="541">
        <v>0</v>
      </c>
      <c r="AO6" s="541">
        <v>0</v>
      </c>
      <c r="AP6" s="541">
        <v>0</v>
      </c>
      <c r="AQ6" s="541">
        <v>0</v>
      </c>
      <c r="AR6" s="541">
        <v>0</v>
      </c>
      <c r="AS6" s="541">
        <v>0</v>
      </c>
      <c r="AT6" s="543">
        <v>0</v>
      </c>
      <c r="AU6" s="541">
        <v>0</v>
      </c>
      <c r="AV6" s="541">
        <v>0</v>
      </c>
      <c r="AW6" s="541">
        <v>0</v>
      </c>
      <c r="AX6" s="541">
        <v>0</v>
      </c>
      <c r="AY6" s="541">
        <v>0</v>
      </c>
      <c r="AZ6" s="541">
        <v>0</v>
      </c>
      <c r="BA6" s="541">
        <v>0</v>
      </c>
      <c r="BB6" s="541">
        <v>0</v>
      </c>
      <c r="BC6" s="544">
        <v>156104.76416666666</v>
      </c>
      <c r="BD6" s="544">
        <v>156104.76416666666</v>
      </c>
      <c r="BE6" s="511"/>
      <c r="BF6" s="565">
        <v>29680</v>
      </c>
      <c r="BG6" s="565">
        <v>126424.76416666666</v>
      </c>
      <c r="BH6" s="565">
        <v>0</v>
      </c>
      <c r="BI6" s="565">
        <v>0</v>
      </c>
      <c r="BJ6" s="565">
        <v>156104.76416666666</v>
      </c>
      <c r="BK6" s="565">
        <v>0</v>
      </c>
      <c r="BL6" s="511"/>
      <c r="BM6" s="565">
        <v>0</v>
      </c>
      <c r="BN6" s="565">
        <v>61735.27</v>
      </c>
    </row>
    <row r="7" spans="1:66" ht="13.2" x14ac:dyDescent="0.25">
      <c r="A7" s="515" t="s">
        <v>618</v>
      </c>
      <c r="B7" s="517">
        <v>1025</v>
      </c>
      <c r="C7" s="517" t="s">
        <v>110</v>
      </c>
      <c r="D7" s="517" t="s">
        <v>36</v>
      </c>
      <c r="E7" s="518" t="s">
        <v>619</v>
      </c>
      <c r="F7" s="540"/>
      <c r="G7" s="540"/>
      <c r="H7" s="540"/>
      <c r="I7" s="540">
        <v>0</v>
      </c>
      <c r="J7" s="540">
        <v>24495.666666666668</v>
      </c>
      <c r="K7" s="540">
        <v>9400.2525000000005</v>
      </c>
      <c r="L7" s="541">
        <v>5834</v>
      </c>
      <c r="M7" s="541" t="s">
        <v>1476</v>
      </c>
      <c r="N7" s="541">
        <v>0</v>
      </c>
      <c r="O7" s="541">
        <v>0</v>
      </c>
      <c r="P7" s="541">
        <v>0</v>
      </c>
      <c r="Q7" s="541">
        <v>0</v>
      </c>
      <c r="R7" s="541">
        <v>0</v>
      </c>
      <c r="S7" s="542" t="s">
        <v>1476</v>
      </c>
      <c r="T7" s="541">
        <v>0</v>
      </c>
      <c r="U7" s="541">
        <v>0</v>
      </c>
      <c r="V7" s="541">
        <v>0</v>
      </c>
      <c r="W7" s="541" t="s">
        <v>1476</v>
      </c>
      <c r="X7" s="543" t="s">
        <v>1476</v>
      </c>
      <c r="Y7" s="541">
        <v>0</v>
      </c>
      <c r="Z7" s="541">
        <v>0</v>
      </c>
      <c r="AA7" s="541">
        <v>0</v>
      </c>
      <c r="AB7" s="541">
        <v>0</v>
      </c>
      <c r="AC7" s="541">
        <v>0</v>
      </c>
      <c r="AD7" s="541">
        <v>0</v>
      </c>
      <c r="AE7" s="541">
        <v>0</v>
      </c>
      <c r="AF7" s="541">
        <v>0</v>
      </c>
      <c r="AG7" s="541">
        <v>0</v>
      </c>
      <c r="AH7" s="541">
        <v>0</v>
      </c>
      <c r="AI7" s="541">
        <v>16077</v>
      </c>
      <c r="AJ7" s="541">
        <v>5689</v>
      </c>
      <c r="AK7" s="541">
        <v>0</v>
      </c>
      <c r="AL7" s="541">
        <v>0</v>
      </c>
      <c r="AM7" s="541">
        <v>0</v>
      </c>
      <c r="AN7" s="541">
        <v>0</v>
      </c>
      <c r="AO7" s="541">
        <v>0</v>
      </c>
      <c r="AP7" s="541">
        <v>0</v>
      </c>
      <c r="AQ7" s="541">
        <v>0</v>
      </c>
      <c r="AR7" s="541">
        <v>0</v>
      </c>
      <c r="AS7" s="541">
        <v>0</v>
      </c>
      <c r="AT7" s="543">
        <v>0</v>
      </c>
      <c r="AU7" s="541">
        <v>0</v>
      </c>
      <c r="AV7" s="541">
        <v>0</v>
      </c>
      <c r="AW7" s="541">
        <v>0</v>
      </c>
      <c r="AX7" s="541">
        <v>0</v>
      </c>
      <c r="AY7" s="541">
        <v>0</v>
      </c>
      <c r="AZ7" s="541">
        <v>0</v>
      </c>
      <c r="BA7" s="541">
        <v>0</v>
      </c>
      <c r="BB7" s="541">
        <v>0</v>
      </c>
      <c r="BC7" s="544">
        <v>61495.919166666667</v>
      </c>
      <c r="BD7" s="544">
        <v>61495.919166666667</v>
      </c>
      <c r="BE7" s="511"/>
      <c r="BF7" s="565">
        <v>21766</v>
      </c>
      <c r="BG7" s="565">
        <v>39729.919166666667</v>
      </c>
      <c r="BH7" s="565">
        <v>0</v>
      </c>
      <c r="BI7" s="565">
        <v>0</v>
      </c>
      <c r="BJ7" s="565">
        <v>61495.919166666667</v>
      </c>
      <c r="BK7" s="565">
        <v>0</v>
      </c>
      <c r="BL7" s="511"/>
      <c r="BM7" s="565">
        <v>0</v>
      </c>
      <c r="BN7" s="565">
        <v>0</v>
      </c>
    </row>
    <row r="8" spans="1:66" ht="13.2" x14ac:dyDescent="0.25">
      <c r="A8" s="515" t="s">
        <v>614</v>
      </c>
      <c r="B8" s="517">
        <v>1001</v>
      </c>
      <c r="C8" s="517" t="s">
        <v>112</v>
      </c>
      <c r="D8" s="517" t="s">
        <v>36</v>
      </c>
      <c r="E8" s="518" t="s">
        <v>620</v>
      </c>
      <c r="F8" s="540"/>
      <c r="G8" s="540"/>
      <c r="H8" s="540"/>
      <c r="I8" s="540">
        <v>0</v>
      </c>
      <c r="J8" s="540">
        <v>0</v>
      </c>
      <c r="K8" s="540">
        <v>0</v>
      </c>
      <c r="L8" s="541">
        <v>0</v>
      </c>
      <c r="M8" s="541" t="s">
        <v>1476</v>
      </c>
      <c r="N8" s="541">
        <v>0</v>
      </c>
      <c r="O8" s="541">
        <v>0</v>
      </c>
      <c r="P8" s="541">
        <v>0</v>
      </c>
      <c r="Q8" s="541">
        <v>0</v>
      </c>
      <c r="R8" s="541">
        <v>0</v>
      </c>
      <c r="S8" s="542" t="s">
        <v>1476</v>
      </c>
      <c r="T8" s="541">
        <v>0</v>
      </c>
      <c r="U8" s="541">
        <v>0</v>
      </c>
      <c r="V8" s="541">
        <v>0</v>
      </c>
      <c r="W8" s="541" t="s">
        <v>1476</v>
      </c>
      <c r="X8" s="543" t="s">
        <v>1476</v>
      </c>
      <c r="Y8" s="541">
        <v>0</v>
      </c>
      <c r="Z8" s="541">
        <v>0</v>
      </c>
      <c r="AA8" s="541">
        <v>0</v>
      </c>
      <c r="AB8" s="541">
        <v>0</v>
      </c>
      <c r="AC8" s="541">
        <v>0</v>
      </c>
      <c r="AD8" s="541">
        <v>0</v>
      </c>
      <c r="AE8" s="541">
        <v>0</v>
      </c>
      <c r="AF8" s="541">
        <v>0</v>
      </c>
      <c r="AG8" s="541">
        <v>0</v>
      </c>
      <c r="AH8" s="541">
        <v>0</v>
      </c>
      <c r="AI8" s="541">
        <v>13286</v>
      </c>
      <c r="AJ8" s="541">
        <v>4702</v>
      </c>
      <c r="AK8" s="541">
        <v>0</v>
      </c>
      <c r="AL8" s="541">
        <v>0</v>
      </c>
      <c r="AM8" s="541">
        <v>0</v>
      </c>
      <c r="AN8" s="541">
        <v>0</v>
      </c>
      <c r="AO8" s="541">
        <v>0</v>
      </c>
      <c r="AP8" s="541">
        <v>0</v>
      </c>
      <c r="AQ8" s="541">
        <v>0</v>
      </c>
      <c r="AR8" s="541">
        <v>0</v>
      </c>
      <c r="AS8" s="541">
        <v>0</v>
      </c>
      <c r="AT8" s="543">
        <v>0</v>
      </c>
      <c r="AU8" s="541">
        <v>0</v>
      </c>
      <c r="AV8" s="541">
        <v>0</v>
      </c>
      <c r="AW8" s="541">
        <v>0</v>
      </c>
      <c r="AX8" s="541">
        <v>0</v>
      </c>
      <c r="AY8" s="541">
        <v>0</v>
      </c>
      <c r="AZ8" s="541">
        <v>0</v>
      </c>
      <c r="BA8" s="541">
        <v>0</v>
      </c>
      <c r="BB8" s="541">
        <v>0</v>
      </c>
      <c r="BC8" s="544">
        <v>17988</v>
      </c>
      <c r="BD8" s="544">
        <v>17988</v>
      </c>
      <c r="BE8" s="511"/>
      <c r="BF8" s="565">
        <v>17988</v>
      </c>
      <c r="BG8" s="565">
        <v>0</v>
      </c>
      <c r="BH8" s="565">
        <v>0</v>
      </c>
      <c r="BI8" s="565">
        <v>0</v>
      </c>
      <c r="BJ8" s="565">
        <v>17988</v>
      </c>
      <c r="BK8" s="565">
        <v>0</v>
      </c>
      <c r="BL8" s="511"/>
      <c r="BM8" s="565">
        <v>0</v>
      </c>
      <c r="BN8" s="565">
        <v>0</v>
      </c>
    </row>
    <row r="9" spans="1:66" ht="13.2" x14ac:dyDescent="0.25">
      <c r="A9" s="515" t="s">
        <v>618</v>
      </c>
      <c r="B9" s="517">
        <v>1002</v>
      </c>
      <c r="C9" s="517" t="s">
        <v>114</v>
      </c>
      <c r="D9" s="517" t="s">
        <v>36</v>
      </c>
      <c r="E9" s="518" t="s">
        <v>621</v>
      </c>
      <c r="F9" s="540"/>
      <c r="G9" s="540"/>
      <c r="H9" s="540"/>
      <c r="I9" s="540">
        <v>11100</v>
      </c>
      <c r="J9" s="540">
        <v>0</v>
      </c>
      <c r="K9" s="540">
        <v>0</v>
      </c>
      <c r="L9" s="541">
        <v>0</v>
      </c>
      <c r="M9" s="541" t="s">
        <v>1476</v>
      </c>
      <c r="N9" s="541">
        <v>0</v>
      </c>
      <c r="O9" s="541">
        <v>0</v>
      </c>
      <c r="P9" s="541">
        <v>0</v>
      </c>
      <c r="Q9" s="541">
        <v>0</v>
      </c>
      <c r="R9" s="541">
        <v>0</v>
      </c>
      <c r="S9" s="542" t="s">
        <v>1476</v>
      </c>
      <c r="T9" s="541">
        <v>0</v>
      </c>
      <c r="U9" s="541">
        <v>0</v>
      </c>
      <c r="V9" s="541">
        <v>0</v>
      </c>
      <c r="W9" s="541" t="s">
        <v>1476</v>
      </c>
      <c r="X9" s="543" t="s">
        <v>1476</v>
      </c>
      <c r="Y9" s="541">
        <v>0</v>
      </c>
      <c r="Z9" s="541">
        <v>0</v>
      </c>
      <c r="AA9" s="541">
        <v>0</v>
      </c>
      <c r="AB9" s="541">
        <v>0</v>
      </c>
      <c r="AC9" s="541">
        <v>0</v>
      </c>
      <c r="AD9" s="541">
        <v>0</v>
      </c>
      <c r="AE9" s="541">
        <v>0</v>
      </c>
      <c r="AF9" s="541">
        <v>0</v>
      </c>
      <c r="AG9" s="541">
        <v>0</v>
      </c>
      <c r="AH9" s="541">
        <v>0</v>
      </c>
      <c r="AI9" s="541">
        <v>18069</v>
      </c>
      <c r="AJ9" s="541">
        <v>6394</v>
      </c>
      <c r="AK9" s="541">
        <v>0</v>
      </c>
      <c r="AL9" s="541">
        <v>0</v>
      </c>
      <c r="AM9" s="541">
        <v>0</v>
      </c>
      <c r="AN9" s="541">
        <v>0</v>
      </c>
      <c r="AO9" s="541">
        <v>0</v>
      </c>
      <c r="AP9" s="541">
        <v>0</v>
      </c>
      <c r="AQ9" s="541">
        <v>0</v>
      </c>
      <c r="AR9" s="541">
        <v>0</v>
      </c>
      <c r="AS9" s="541">
        <v>0</v>
      </c>
      <c r="AT9" s="543">
        <v>0</v>
      </c>
      <c r="AU9" s="541">
        <v>0</v>
      </c>
      <c r="AV9" s="541">
        <v>0</v>
      </c>
      <c r="AW9" s="541">
        <v>0</v>
      </c>
      <c r="AX9" s="541">
        <v>0</v>
      </c>
      <c r="AY9" s="541">
        <v>0</v>
      </c>
      <c r="AZ9" s="541">
        <v>0</v>
      </c>
      <c r="BA9" s="541">
        <v>0</v>
      </c>
      <c r="BB9" s="541">
        <v>0</v>
      </c>
      <c r="BC9" s="544">
        <v>35563</v>
      </c>
      <c r="BD9" s="544">
        <v>35563</v>
      </c>
      <c r="BE9" s="511"/>
      <c r="BF9" s="565">
        <v>24463</v>
      </c>
      <c r="BG9" s="565">
        <v>11100</v>
      </c>
      <c r="BH9" s="565">
        <v>0</v>
      </c>
      <c r="BI9" s="565">
        <v>0</v>
      </c>
      <c r="BJ9" s="565">
        <v>35563</v>
      </c>
      <c r="BK9" s="565">
        <v>0</v>
      </c>
      <c r="BL9" s="511"/>
      <c r="BM9" s="565">
        <v>0</v>
      </c>
      <c r="BN9" s="565">
        <v>0</v>
      </c>
    </row>
    <row r="10" spans="1:66" ht="13.2" x14ac:dyDescent="0.25">
      <c r="A10" s="515" t="s">
        <v>618</v>
      </c>
      <c r="B10" s="517">
        <v>1048</v>
      </c>
      <c r="C10" s="517" t="s">
        <v>116</v>
      </c>
      <c r="D10" s="517" t="s">
        <v>36</v>
      </c>
      <c r="E10" s="518" t="s">
        <v>622</v>
      </c>
      <c r="F10" s="540"/>
      <c r="G10" s="540"/>
      <c r="H10" s="540"/>
      <c r="I10" s="540">
        <v>16652.083333333328</v>
      </c>
      <c r="J10" s="540">
        <v>0</v>
      </c>
      <c r="K10" s="540">
        <v>16390.5</v>
      </c>
      <c r="L10" s="541">
        <v>0</v>
      </c>
      <c r="M10" s="541" t="s">
        <v>1476</v>
      </c>
      <c r="N10" s="541">
        <v>0</v>
      </c>
      <c r="O10" s="541">
        <v>0</v>
      </c>
      <c r="P10" s="541">
        <v>0</v>
      </c>
      <c r="Q10" s="541">
        <v>0</v>
      </c>
      <c r="R10" s="541">
        <v>0</v>
      </c>
      <c r="S10" s="542" t="s">
        <v>1476</v>
      </c>
      <c r="T10" s="541">
        <v>0</v>
      </c>
      <c r="U10" s="541">
        <v>0</v>
      </c>
      <c r="V10" s="541">
        <v>0</v>
      </c>
      <c r="W10" s="541" t="s">
        <v>1476</v>
      </c>
      <c r="X10" s="543" t="s">
        <v>1476</v>
      </c>
      <c r="Y10" s="541">
        <v>0</v>
      </c>
      <c r="Z10" s="541">
        <v>0</v>
      </c>
      <c r="AA10" s="541">
        <v>0</v>
      </c>
      <c r="AB10" s="541">
        <v>0</v>
      </c>
      <c r="AC10" s="541">
        <v>0</v>
      </c>
      <c r="AD10" s="541">
        <v>0</v>
      </c>
      <c r="AE10" s="541">
        <v>0</v>
      </c>
      <c r="AF10" s="541">
        <v>0</v>
      </c>
      <c r="AG10" s="541">
        <v>0</v>
      </c>
      <c r="AH10" s="541">
        <v>0</v>
      </c>
      <c r="AI10" s="541">
        <v>19929</v>
      </c>
      <c r="AJ10" s="541">
        <v>7054</v>
      </c>
      <c r="AK10" s="541">
        <v>0</v>
      </c>
      <c r="AL10" s="541">
        <v>0</v>
      </c>
      <c r="AM10" s="541">
        <v>0</v>
      </c>
      <c r="AN10" s="541">
        <v>0</v>
      </c>
      <c r="AO10" s="541">
        <v>0</v>
      </c>
      <c r="AP10" s="541">
        <v>0</v>
      </c>
      <c r="AQ10" s="541">
        <v>0</v>
      </c>
      <c r="AR10" s="541">
        <v>0</v>
      </c>
      <c r="AS10" s="541">
        <v>0</v>
      </c>
      <c r="AT10" s="543">
        <v>0</v>
      </c>
      <c r="AU10" s="541">
        <v>0</v>
      </c>
      <c r="AV10" s="541">
        <v>0</v>
      </c>
      <c r="AW10" s="541">
        <v>0</v>
      </c>
      <c r="AX10" s="541">
        <v>0</v>
      </c>
      <c r="AY10" s="541">
        <v>0</v>
      </c>
      <c r="AZ10" s="541">
        <v>0</v>
      </c>
      <c r="BA10" s="541">
        <v>0</v>
      </c>
      <c r="BB10" s="541">
        <v>0</v>
      </c>
      <c r="BC10" s="544">
        <v>60025.583333333328</v>
      </c>
      <c r="BD10" s="544">
        <v>60025.583333333328</v>
      </c>
      <c r="BE10" s="511"/>
      <c r="BF10" s="565">
        <v>26983</v>
      </c>
      <c r="BG10" s="565">
        <v>33042.583333333328</v>
      </c>
      <c r="BH10" s="565">
        <v>0</v>
      </c>
      <c r="BI10" s="565">
        <v>0</v>
      </c>
      <c r="BJ10" s="565">
        <v>60025.583333333328</v>
      </c>
      <c r="BK10" s="565">
        <v>0</v>
      </c>
      <c r="BL10" s="511"/>
      <c r="BM10" s="565">
        <v>0</v>
      </c>
      <c r="BN10" s="565">
        <v>0</v>
      </c>
    </row>
    <row r="11" spans="1:66" x14ac:dyDescent="0.25">
      <c r="A11" s="515" t="s">
        <v>614</v>
      </c>
      <c r="B11" s="517">
        <v>1802</v>
      </c>
      <c r="C11" s="517" t="s">
        <v>158</v>
      </c>
      <c r="D11" s="517" t="s">
        <v>36</v>
      </c>
      <c r="E11" s="545" t="s">
        <v>623</v>
      </c>
      <c r="F11" s="540"/>
      <c r="G11" s="540"/>
      <c r="H11" s="540"/>
      <c r="I11" s="540">
        <v>3345.8333333333335</v>
      </c>
      <c r="J11" s="540">
        <v>1716.6666666666667</v>
      </c>
      <c r="K11" s="540">
        <v>87.502499999999998</v>
      </c>
      <c r="L11" s="541">
        <v>0</v>
      </c>
      <c r="M11" s="541" t="s">
        <v>1476</v>
      </c>
      <c r="N11" s="541">
        <v>0</v>
      </c>
      <c r="O11" s="541">
        <v>0</v>
      </c>
      <c r="P11" s="541">
        <v>0</v>
      </c>
      <c r="Q11" s="541">
        <v>0</v>
      </c>
      <c r="R11" s="541">
        <v>0</v>
      </c>
      <c r="S11" s="542" t="s">
        <v>1476</v>
      </c>
      <c r="T11" s="541">
        <v>0</v>
      </c>
      <c r="U11" s="541">
        <v>0</v>
      </c>
      <c r="V11" s="541">
        <v>0</v>
      </c>
      <c r="W11" s="541" t="s">
        <v>1476</v>
      </c>
      <c r="X11" s="543" t="s">
        <v>1476</v>
      </c>
      <c r="Y11" s="541">
        <v>0</v>
      </c>
      <c r="Z11" s="541">
        <v>0</v>
      </c>
      <c r="AA11" s="541">
        <v>0</v>
      </c>
      <c r="AB11" s="541">
        <v>0</v>
      </c>
      <c r="AC11" s="541">
        <v>0</v>
      </c>
      <c r="AD11" s="541">
        <v>0</v>
      </c>
      <c r="AE11" s="541">
        <v>0</v>
      </c>
      <c r="AF11" s="541">
        <v>0</v>
      </c>
      <c r="AG11" s="541">
        <v>0</v>
      </c>
      <c r="AH11" s="541">
        <v>0</v>
      </c>
      <c r="AI11" s="541">
        <v>13286</v>
      </c>
      <c r="AJ11" s="541">
        <v>4702</v>
      </c>
      <c r="AK11" s="541">
        <v>0</v>
      </c>
      <c r="AL11" s="541">
        <v>0</v>
      </c>
      <c r="AM11" s="541">
        <v>0</v>
      </c>
      <c r="AN11" s="541">
        <v>0</v>
      </c>
      <c r="AO11" s="541">
        <v>0</v>
      </c>
      <c r="AP11" s="541">
        <v>0</v>
      </c>
      <c r="AQ11" s="541">
        <v>0</v>
      </c>
      <c r="AR11" s="541">
        <v>0</v>
      </c>
      <c r="AS11" s="541">
        <v>0</v>
      </c>
      <c r="AT11" s="543">
        <v>0</v>
      </c>
      <c r="AU11" s="541">
        <v>0</v>
      </c>
      <c r="AV11" s="541">
        <v>0</v>
      </c>
      <c r="AW11" s="541">
        <v>0</v>
      </c>
      <c r="AX11" s="541">
        <v>0</v>
      </c>
      <c r="AY11" s="541">
        <v>0</v>
      </c>
      <c r="AZ11" s="541">
        <v>0</v>
      </c>
      <c r="BA11" s="541">
        <v>0</v>
      </c>
      <c r="BB11" s="541">
        <v>0</v>
      </c>
      <c r="BC11" s="544">
        <v>23138.002499999999</v>
      </c>
      <c r="BD11" s="544">
        <v>23138.002499999999</v>
      </c>
      <c r="BE11" s="511"/>
      <c r="BF11" s="565">
        <v>17988</v>
      </c>
      <c r="BG11" s="565">
        <v>5150.0024999999996</v>
      </c>
      <c r="BH11" s="565">
        <v>0</v>
      </c>
      <c r="BI11" s="565">
        <v>0</v>
      </c>
      <c r="BJ11" s="565">
        <v>23138.002499999999</v>
      </c>
      <c r="BK11" s="565">
        <v>0</v>
      </c>
      <c r="BL11" s="511"/>
      <c r="BM11" s="565">
        <v>0</v>
      </c>
      <c r="BN11" s="565">
        <v>0</v>
      </c>
    </row>
    <row r="12" spans="1:66" ht="13.2" x14ac:dyDescent="0.25">
      <c r="A12" s="515" t="s">
        <v>618</v>
      </c>
      <c r="B12" s="517">
        <v>1026</v>
      </c>
      <c r="C12" s="517" t="s">
        <v>118</v>
      </c>
      <c r="D12" s="517" t="s">
        <v>36</v>
      </c>
      <c r="E12" s="518" t="s">
        <v>624</v>
      </c>
      <c r="F12" s="540"/>
      <c r="G12" s="540"/>
      <c r="H12" s="540"/>
      <c r="I12" s="540">
        <v>0</v>
      </c>
      <c r="J12" s="540">
        <v>0</v>
      </c>
      <c r="K12" s="540">
        <v>0</v>
      </c>
      <c r="L12" s="541">
        <v>0</v>
      </c>
      <c r="M12" s="541" t="s">
        <v>1476</v>
      </c>
      <c r="N12" s="541">
        <v>0</v>
      </c>
      <c r="O12" s="541">
        <v>0</v>
      </c>
      <c r="P12" s="541">
        <v>0</v>
      </c>
      <c r="Q12" s="541">
        <v>0</v>
      </c>
      <c r="R12" s="541">
        <v>0</v>
      </c>
      <c r="S12" s="542" t="s">
        <v>1476</v>
      </c>
      <c r="T12" s="541">
        <v>0</v>
      </c>
      <c r="U12" s="541">
        <v>0</v>
      </c>
      <c r="V12" s="541">
        <v>0</v>
      </c>
      <c r="W12" s="541" t="s">
        <v>1476</v>
      </c>
      <c r="X12" s="543" t="s">
        <v>1476</v>
      </c>
      <c r="Y12" s="541">
        <v>0</v>
      </c>
      <c r="Z12" s="541">
        <v>0</v>
      </c>
      <c r="AA12" s="541">
        <v>0</v>
      </c>
      <c r="AB12" s="541">
        <v>0</v>
      </c>
      <c r="AC12" s="541">
        <v>0</v>
      </c>
      <c r="AD12" s="541">
        <v>0</v>
      </c>
      <c r="AE12" s="541">
        <v>0</v>
      </c>
      <c r="AF12" s="541">
        <v>0</v>
      </c>
      <c r="AG12" s="541">
        <v>0</v>
      </c>
      <c r="AH12" s="541">
        <v>0</v>
      </c>
      <c r="AI12" s="541">
        <v>13286</v>
      </c>
      <c r="AJ12" s="541">
        <v>4702</v>
      </c>
      <c r="AK12" s="541">
        <v>0</v>
      </c>
      <c r="AL12" s="541">
        <v>0</v>
      </c>
      <c r="AM12" s="541">
        <v>0</v>
      </c>
      <c r="AN12" s="541">
        <v>0</v>
      </c>
      <c r="AO12" s="541">
        <v>0</v>
      </c>
      <c r="AP12" s="541">
        <v>0</v>
      </c>
      <c r="AQ12" s="541">
        <v>0</v>
      </c>
      <c r="AR12" s="541">
        <v>0</v>
      </c>
      <c r="AS12" s="541">
        <v>0</v>
      </c>
      <c r="AT12" s="543">
        <v>0</v>
      </c>
      <c r="AU12" s="541">
        <v>0</v>
      </c>
      <c r="AV12" s="541">
        <v>0</v>
      </c>
      <c r="AW12" s="541">
        <v>0</v>
      </c>
      <c r="AX12" s="541">
        <v>0</v>
      </c>
      <c r="AY12" s="541">
        <v>0</v>
      </c>
      <c r="AZ12" s="541">
        <v>0</v>
      </c>
      <c r="BA12" s="541">
        <v>0</v>
      </c>
      <c r="BB12" s="541">
        <v>0</v>
      </c>
      <c r="BC12" s="544">
        <v>17988</v>
      </c>
      <c r="BD12" s="544">
        <v>17988</v>
      </c>
      <c r="BE12" s="511"/>
      <c r="BF12" s="565">
        <v>17988</v>
      </c>
      <c r="BG12" s="565">
        <v>0</v>
      </c>
      <c r="BH12" s="565">
        <v>0</v>
      </c>
      <c r="BI12" s="565">
        <v>0</v>
      </c>
      <c r="BJ12" s="565">
        <v>17988</v>
      </c>
      <c r="BK12" s="565">
        <v>0</v>
      </c>
      <c r="BL12" s="511"/>
      <c r="BM12" s="565">
        <v>0</v>
      </c>
      <c r="BN12" s="565">
        <v>0</v>
      </c>
    </row>
    <row r="13" spans="1:66" ht="13.2" x14ac:dyDescent="0.25">
      <c r="A13" s="515" t="s">
        <v>618</v>
      </c>
      <c r="B13" s="517">
        <v>1006</v>
      </c>
      <c r="C13" s="517" t="s">
        <v>120</v>
      </c>
      <c r="D13" s="517" t="s">
        <v>36</v>
      </c>
      <c r="E13" s="518" t="s">
        <v>625</v>
      </c>
      <c r="F13" s="540"/>
      <c r="G13" s="540"/>
      <c r="H13" s="540"/>
      <c r="I13" s="540">
        <v>0</v>
      </c>
      <c r="J13" s="540">
        <v>3148.6666666666665</v>
      </c>
      <c r="K13" s="540">
        <v>0</v>
      </c>
      <c r="L13" s="541">
        <v>0</v>
      </c>
      <c r="M13" s="541" t="s">
        <v>1476</v>
      </c>
      <c r="N13" s="541">
        <v>0</v>
      </c>
      <c r="O13" s="541">
        <v>0</v>
      </c>
      <c r="P13" s="541">
        <v>0</v>
      </c>
      <c r="Q13" s="541">
        <v>24760</v>
      </c>
      <c r="R13" s="541">
        <v>19808</v>
      </c>
      <c r="S13" s="542">
        <v>30004.5</v>
      </c>
      <c r="T13" s="541">
        <v>0</v>
      </c>
      <c r="U13" s="541">
        <v>0</v>
      </c>
      <c r="V13" s="541">
        <v>0</v>
      </c>
      <c r="W13" s="541" t="s">
        <v>1476</v>
      </c>
      <c r="X13" s="543" t="s">
        <v>1476</v>
      </c>
      <c r="Y13" s="541">
        <v>0</v>
      </c>
      <c r="Z13" s="541">
        <v>0</v>
      </c>
      <c r="AA13" s="541">
        <v>0</v>
      </c>
      <c r="AB13" s="541">
        <v>0</v>
      </c>
      <c r="AC13" s="541">
        <v>0</v>
      </c>
      <c r="AD13" s="541">
        <v>0</v>
      </c>
      <c r="AE13" s="541">
        <v>0</v>
      </c>
      <c r="AF13" s="541">
        <v>0</v>
      </c>
      <c r="AG13" s="541">
        <v>0</v>
      </c>
      <c r="AH13" s="541">
        <v>0</v>
      </c>
      <c r="AI13" s="541">
        <v>13286</v>
      </c>
      <c r="AJ13" s="541">
        <v>4702</v>
      </c>
      <c r="AK13" s="541">
        <v>0</v>
      </c>
      <c r="AL13" s="541">
        <v>0</v>
      </c>
      <c r="AM13" s="541">
        <v>0</v>
      </c>
      <c r="AN13" s="541">
        <v>0</v>
      </c>
      <c r="AO13" s="541">
        <v>0</v>
      </c>
      <c r="AP13" s="541">
        <v>0</v>
      </c>
      <c r="AQ13" s="541">
        <v>0</v>
      </c>
      <c r="AR13" s="541">
        <v>0</v>
      </c>
      <c r="AS13" s="541">
        <v>0</v>
      </c>
      <c r="AT13" s="543">
        <v>0</v>
      </c>
      <c r="AU13" s="541">
        <v>0</v>
      </c>
      <c r="AV13" s="541">
        <v>0</v>
      </c>
      <c r="AW13" s="541">
        <v>0</v>
      </c>
      <c r="AX13" s="541">
        <v>0</v>
      </c>
      <c r="AY13" s="541">
        <v>0</v>
      </c>
      <c r="AZ13" s="541">
        <v>0</v>
      </c>
      <c r="BA13" s="541">
        <v>0</v>
      </c>
      <c r="BB13" s="541">
        <v>0</v>
      </c>
      <c r="BC13" s="544">
        <v>95709.166666666672</v>
      </c>
      <c r="BD13" s="544">
        <v>95709.166666666672</v>
      </c>
      <c r="BE13" s="511"/>
      <c r="BF13" s="565">
        <v>17988</v>
      </c>
      <c r="BG13" s="565">
        <v>77721.166666666672</v>
      </c>
      <c r="BH13" s="565">
        <v>0</v>
      </c>
      <c r="BI13" s="565">
        <v>0</v>
      </c>
      <c r="BJ13" s="565">
        <v>95709.166666666672</v>
      </c>
      <c r="BK13" s="565">
        <v>0</v>
      </c>
      <c r="BL13" s="511"/>
      <c r="BM13" s="565">
        <v>0</v>
      </c>
      <c r="BN13" s="565">
        <v>74572.5</v>
      </c>
    </row>
    <row r="14" spans="1:66" ht="13.2" x14ac:dyDescent="0.25">
      <c r="A14" s="515" t="s">
        <v>618</v>
      </c>
      <c r="B14" s="517">
        <v>1015</v>
      </c>
      <c r="C14" s="517" t="s">
        <v>122</v>
      </c>
      <c r="D14" s="517" t="s">
        <v>36</v>
      </c>
      <c r="E14" s="518" t="s">
        <v>626</v>
      </c>
      <c r="F14" s="540"/>
      <c r="G14" s="540"/>
      <c r="H14" s="540"/>
      <c r="I14" s="540">
        <v>2819.166666666667</v>
      </c>
      <c r="J14" s="540">
        <v>0</v>
      </c>
      <c r="K14" s="540">
        <v>0</v>
      </c>
      <c r="L14" s="541">
        <v>0</v>
      </c>
      <c r="M14" s="541" t="s">
        <v>1476</v>
      </c>
      <c r="N14" s="541">
        <v>0</v>
      </c>
      <c r="O14" s="541">
        <v>0</v>
      </c>
      <c r="P14" s="541">
        <v>0</v>
      </c>
      <c r="Q14" s="541">
        <v>0</v>
      </c>
      <c r="R14" s="541">
        <v>0</v>
      </c>
      <c r="S14" s="542" t="s">
        <v>1476</v>
      </c>
      <c r="T14" s="541">
        <v>0</v>
      </c>
      <c r="U14" s="541">
        <v>0</v>
      </c>
      <c r="V14" s="541">
        <v>0</v>
      </c>
      <c r="W14" s="541" t="s">
        <v>1476</v>
      </c>
      <c r="X14" s="543" t="s">
        <v>1476</v>
      </c>
      <c r="Y14" s="541">
        <v>0</v>
      </c>
      <c r="Z14" s="541">
        <v>0</v>
      </c>
      <c r="AA14" s="541">
        <v>0</v>
      </c>
      <c r="AB14" s="541">
        <v>0</v>
      </c>
      <c r="AC14" s="541">
        <v>0</v>
      </c>
      <c r="AD14" s="541">
        <v>0</v>
      </c>
      <c r="AE14" s="541">
        <v>0</v>
      </c>
      <c r="AF14" s="541">
        <v>0</v>
      </c>
      <c r="AG14" s="541">
        <v>0</v>
      </c>
      <c r="AH14" s="541">
        <v>0</v>
      </c>
      <c r="AI14" s="541">
        <v>13286</v>
      </c>
      <c r="AJ14" s="541">
        <v>4702</v>
      </c>
      <c r="AK14" s="541">
        <v>0</v>
      </c>
      <c r="AL14" s="541">
        <v>0</v>
      </c>
      <c r="AM14" s="541">
        <v>0</v>
      </c>
      <c r="AN14" s="541">
        <v>0</v>
      </c>
      <c r="AO14" s="541">
        <v>0</v>
      </c>
      <c r="AP14" s="541">
        <v>0</v>
      </c>
      <c r="AQ14" s="541">
        <v>0</v>
      </c>
      <c r="AR14" s="541">
        <v>0</v>
      </c>
      <c r="AS14" s="541">
        <v>0</v>
      </c>
      <c r="AT14" s="543">
        <v>0</v>
      </c>
      <c r="AU14" s="541">
        <v>0</v>
      </c>
      <c r="AV14" s="541">
        <v>0</v>
      </c>
      <c r="AW14" s="541">
        <v>0</v>
      </c>
      <c r="AX14" s="541">
        <v>0</v>
      </c>
      <c r="AY14" s="541">
        <v>0</v>
      </c>
      <c r="AZ14" s="541">
        <v>0</v>
      </c>
      <c r="BA14" s="541">
        <v>0</v>
      </c>
      <c r="BB14" s="541">
        <v>0</v>
      </c>
      <c r="BC14" s="544">
        <v>20807.166666666668</v>
      </c>
      <c r="BD14" s="544">
        <v>20807.166666666668</v>
      </c>
      <c r="BE14" s="511"/>
      <c r="BF14" s="565">
        <v>17988</v>
      </c>
      <c r="BG14" s="565">
        <v>2819.166666666667</v>
      </c>
      <c r="BH14" s="565">
        <v>0</v>
      </c>
      <c r="BI14" s="565">
        <v>0</v>
      </c>
      <c r="BJ14" s="565">
        <v>20807.166666666668</v>
      </c>
      <c r="BK14" s="565">
        <v>0</v>
      </c>
      <c r="BL14" s="511"/>
      <c r="BM14" s="565">
        <v>0</v>
      </c>
      <c r="BN14" s="565">
        <v>0</v>
      </c>
    </row>
    <row r="15" spans="1:66" ht="13.2" x14ac:dyDescent="0.25">
      <c r="A15" s="515" t="s">
        <v>618</v>
      </c>
      <c r="B15" s="517">
        <v>1022</v>
      </c>
      <c r="C15" s="517" t="s">
        <v>124</v>
      </c>
      <c r="D15" s="517" t="s">
        <v>36</v>
      </c>
      <c r="E15" s="518" t="s">
        <v>627</v>
      </c>
      <c r="F15" s="540"/>
      <c r="G15" s="540"/>
      <c r="H15" s="540"/>
      <c r="I15" s="540">
        <v>0</v>
      </c>
      <c r="J15" s="540">
        <v>0</v>
      </c>
      <c r="K15" s="540">
        <v>0</v>
      </c>
      <c r="L15" s="541">
        <v>0</v>
      </c>
      <c r="M15" s="541" t="s">
        <v>1476</v>
      </c>
      <c r="N15" s="541">
        <v>0</v>
      </c>
      <c r="O15" s="541">
        <v>0</v>
      </c>
      <c r="P15" s="541">
        <v>0</v>
      </c>
      <c r="Q15" s="541">
        <v>0</v>
      </c>
      <c r="R15" s="541">
        <v>0</v>
      </c>
      <c r="S15" s="542" t="s">
        <v>1476</v>
      </c>
      <c r="T15" s="541">
        <v>0</v>
      </c>
      <c r="U15" s="541">
        <v>0</v>
      </c>
      <c r="V15" s="541">
        <v>0</v>
      </c>
      <c r="W15" s="541" t="s">
        <v>1476</v>
      </c>
      <c r="X15" s="543" t="s">
        <v>1476</v>
      </c>
      <c r="Y15" s="541">
        <v>0</v>
      </c>
      <c r="Z15" s="541">
        <v>0</v>
      </c>
      <c r="AA15" s="541">
        <v>0</v>
      </c>
      <c r="AB15" s="541">
        <v>0</v>
      </c>
      <c r="AC15" s="541">
        <v>0</v>
      </c>
      <c r="AD15" s="541">
        <v>0</v>
      </c>
      <c r="AE15" s="541">
        <v>0</v>
      </c>
      <c r="AF15" s="541">
        <v>0</v>
      </c>
      <c r="AG15" s="541">
        <v>0</v>
      </c>
      <c r="AH15" s="541">
        <v>0</v>
      </c>
      <c r="AI15" s="541">
        <v>13286</v>
      </c>
      <c r="AJ15" s="541">
        <v>4702</v>
      </c>
      <c r="AK15" s="541">
        <v>0</v>
      </c>
      <c r="AL15" s="541">
        <v>0</v>
      </c>
      <c r="AM15" s="541">
        <v>0</v>
      </c>
      <c r="AN15" s="541">
        <v>0</v>
      </c>
      <c r="AO15" s="541">
        <v>0</v>
      </c>
      <c r="AP15" s="541">
        <v>0</v>
      </c>
      <c r="AQ15" s="541">
        <v>0</v>
      </c>
      <c r="AR15" s="541">
        <v>0</v>
      </c>
      <c r="AS15" s="541">
        <v>0</v>
      </c>
      <c r="AT15" s="543">
        <v>0</v>
      </c>
      <c r="AU15" s="541">
        <v>0</v>
      </c>
      <c r="AV15" s="541">
        <v>0</v>
      </c>
      <c r="AW15" s="541">
        <v>0</v>
      </c>
      <c r="AX15" s="541">
        <v>0</v>
      </c>
      <c r="AY15" s="541">
        <v>0</v>
      </c>
      <c r="AZ15" s="541">
        <v>0</v>
      </c>
      <c r="BA15" s="541">
        <v>0</v>
      </c>
      <c r="BB15" s="541">
        <v>0</v>
      </c>
      <c r="BC15" s="544">
        <v>17988</v>
      </c>
      <c r="BD15" s="544">
        <v>17988</v>
      </c>
      <c r="BE15" s="511"/>
      <c r="BF15" s="565">
        <v>17988</v>
      </c>
      <c r="BG15" s="565">
        <v>0</v>
      </c>
      <c r="BH15" s="565">
        <v>0</v>
      </c>
      <c r="BI15" s="565">
        <v>0</v>
      </c>
      <c r="BJ15" s="565">
        <v>17988</v>
      </c>
      <c r="BK15" s="565">
        <v>0</v>
      </c>
      <c r="BL15" s="511"/>
      <c r="BM15" s="565">
        <v>0</v>
      </c>
      <c r="BN15" s="565">
        <v>0</v>
      </c>
    </row>
    <row r="16" spans="1:66" ht="13.2" x14ac:dyDescent="0.25">
      <c r="A16" s="515" t="s">
        <v>618</v>
      </c>
      <c r="B16" s="517">
        <v>1010</v>
      </c>
      <c r="C16" s="517" t="s">
        <v>126</v>
      </c>
      <c r="D16" s="517" t="s">
        <v>36</v>
      </c>
      <c r="E16" s="518" t="s">
        <v>628</v>
      </c>
      <c r="F16" s="540"/>
      <c r="G16" s="540"/>
      <c r="H16" s="540"/>
      <c r="I16" s="540">
        <v>4675.11625</v>
      </c>
      <c r="J16" s="540">
        <v>0</v>
      </c>
      <c r="K16" s="540">
        <v>0</v>
      </c>
      <c r="L16" s="541">
        <v>0</v>
      </c>
      <c r="M16" s="541" t="s">
        <v>1476</v>
      </c>
      <c r="N16" s="541">
        <v>0</v>
      </c>
      <c r="O16" s="541">
        <v>0</v>
      </c>
      <c r="P16" s="541">
        <v>0</v>
      </c>
      <c r="Q16" s="541">
        <v>0</v>
      </c>
      <c r="R16" s="541">
        <v>0</v>
      </c>
      <c r="S16" s="542" t="s">
        <v>1476</v>
      </c>
      <c r="T16" s="541">
        <v>0</v>
      </c>
      <c r="U16" s="541">
        <v>0</v>
      </c>
      <c r="V16" s="541">
        <v>0</v>
      </c>
      <c r="W16" s="541" t="s">
        <v>1476</v>
      </c>
      <c r="X16" s="543" t="s">
        <v>1476</v>
      </c>
      <c r="Y16" s="541">
        <v>0</v>
      </c>
      <c r="Z16" s="541">
        <v>0</v>
      </c>
      <c r="AA16" s="541">
        <v>0</v>
      </c>
      <c r="AB16" s="541">
        <v>0</v>
      </c>
      <c r="AC16" s="541">
        <v>0</v>
      </c>
      <c r="AD16" s="541">
        <v>0</v>
      </c>
      <c r="AE16" s="541">
        <v>0</v>
      </c>
      <c r="AF16" s="541">
        <v>0</v>
      </c>
      <c r="AG16" s="541">
        <v>0</v>
      </c>
      <c r="AH16" s="541">
        <v>0</v>
      </c>
      <c r="AI16" s="541">
        <v>21125</v>
      </c>
      <c r="AJ16" s="541">
        <v>7476</v>
      </c>
      <c r="AK16" s="541">
        <v>0</v>
      </c>
      <c r="AL16" s="541">
        <v>0</v>
      </c>
      <c r="AM16" s="541">
        <v>0</v>
      </c>
      <c r="AN16" s="541">
        <v>0</v>
      </c>
      <c r="AO16" s="541">
        <v>0</v>
      </c>
      <c r="AP16" s="541">
        <v>0</v>
      </c>
      <c r="AQ16" s="541">
        <v>0</v>
      </c>
      <c r="AR16" s="541">
        <v>0</v>
      </c>
      <c r="AS16" s="541">
        <v>0</v>
      </c>
      <c r="AT16" s="543">
        <v>0</v>
      </c>
      <c r="AU16" s="541">
        <v>0</v>
      </c>
      <c r="AV16" s="541">
        <v>0</v>
      </c>
      <c r="AW16" s="541">
        <v>0</v>
      </c>
      <c r="AX16" s="541">
        <v>0</v>
      </c>
      <c r="AY16" s="541">
        <v>0</v>
      </c>
      <c r="AZ16" s="541">
        <v>0</v>
      </c>
      <c r="BA16" s="541">
        <v>0</v>
      </c>
      <c r="BB16" s="541">
        <v>0</v>
      </c>
      <c r="BC16" s="544">
        <v>33276.116249999999</v>
      </c>
      <c r="BD16" s="544">
        <v>33276.116249999999</v>
      </c>
      <c r="BE16" s="511"/>
      <c r="BF16" s="565">
        <v>28601</v>
      </c>
      <c r="BG16" s="565">
        <v>4675.11625</v>
      </c>
      <c r="BH16" s="565">
        <v>0</v>
      </c>
      <c r="BI16" s="565">
        <v>0</v>
      </c>
      <c r="BJ16" s="565">
        <v>33276.116249999999</v>
      </c>
      <c r="BK16" s="565">
        <v>0</v>
      </c>
      <c r="BL16" s="511"/>
      <c r="BM16" s="565">
        <v>0</v>
      </c>
      <c r="BN16" s="565">
        <v>0</v>
      </c>
    </row>
    <row r="17" spans="1:66" ht="13.2" x14ac:dyDescent="0.25">
      <c r="A17" s="515" t="s">
        <v>618</v>
      </c>
      <c r="B17" s="517">
        <v>1021</v>
      </c>
      <c r="C17" s="517" t="s">
        <v>128</v>
      </c>
      <c r="D17" s="517" t="s">
        <v>36</v>
      </c>
      <c r="E17" s="518" t="s">
        <v>629</v>
      </c>
      <c r="F17" s="540"/>
      <c r="G17" s="540"/>
      <c r="H17" s="540"/>
      <c r="I17" s="540">
        <v>0</v>
      </c>
      <c r="J17" s="540">
        <v>0</v>
      </c>
      <c r="K17" s="540">
        <v>4000</v>
      </c>
      <c r="L17" s="541">
        <v>0</v>
      </c>
      <c r="M17" s="541" t="s">
        <v>1476</v>
      </c>
      <c r="N17" s="541">
        <v>0</v>
      </c>
      <c r="O17" s="541">
        <v>0</v>
      </c>
      <c r="P17" s="541">
        <v>0</v>
      </c>
      <c r="Q17" s="541">
        <v>0</v>
      </c>
      <c r="R17" s="541">
        <v>0</v>
      </c>
      <c r="S17" s="542" t="s">
        <v>1476</v>
      </c>
      <c r="T17" s="541">
        <v>0</v>
      </c>
      <c r="U17" s="541">
        <v>0</v>
      </c>
      <c r="V17" s="541">
        <v>0</v>
      </c>
      <c r="W17" s="541" t="s">
        <v>1476</v>
      </c>
      <c r="X17" s="543" t="s">
        <v>1476</v>
      </c>
      <c r="Y17" s="541">
        <v>0</v>
      </c>
      <c r="Z17" s="541">
        <v>0</v>
      </c>
      <c r="AA17" s="541">
        <v>0</v>
      </c>
      <c r="AB17" s="541">
        <v>0</v>
      </c>
      <c r="AC17" s="541">
        <v>0</v>
      </c>
      <c r="AD17" s="541">
        <v>0</v>
      </c>
      <c r="AE17" s="541">
        <v>0</v>
      </c>
      <c r="AF17" s="541">
        <v>0</v>
      </c>
      <c r="AG17" s="541">
        <v>0</v>
      </c>
      <c r="AH17" s="541">
        <v>0</v>
      </c>
      <c r="AI17" s="541">
        <v>13286</v>
      </c>
      <c r="AJ17" s="541">
        <v>4702</v>
      </c>
      <c r="AK17" s="541">
        <v>0</v>
      </c>
      <c r="AL17" s="541">
        <v>0</v>
      </c>
      <c r="AM17" s="541">
        <v>0</v>
      </c>
      <c r="AN17" s="541">
        <v>0</v>
      </c>
      <c r="AO17" s="541">
        <v>0</v>
      </c>
      <c r="AP17" s="541">
        <v>0</v>
      </c>
      <c r="AQ17" s="541">
        <v>0</v>
      </c>
      <c r="AR17" s="541">
        <v>0</v>
      </c>
      <c r="AS17" s="541">
        <v>0</v>
      </c>
      <c r="AT17" s="543">
        <v>0</v>
      </c>
      <c r="AU17" s="541">
        <v>0</v>
      </c>
      <c r="AV17" s="541">
        <v>0</v>
      </c>
      <c r="AW17" s="541">
        <v>0</v>
      </c>
      <c r="AX17" s="541">
        <v>0</v>
      </c>
      <c r="AY17" s="541">
        <v>0</v>
      </c>
      <c r="AZ17" s="541">
        <v>0</v>
      </c>
      <c r="BA17" s="541">
        <v>0</v>
      </c>
      <c r="BB17" s="541">
        <v>0</v>
      </c>
      <c r="BC17" s="544">
        <v>21988</v>
      </c>
      <c r="BD17" s="544">
        <v>21988</v>
      </c>
      <c r="BE17" s="511"/>
      <c r="BF17" s="565">
        <v>17988</v>
      </c>
      <c r="BG17" s="565">
        <v>4000</v>
      </c>
      <c r="BH17" s="565">
        <v>0</v>
      </c>
      <c r="BI17" s="565">
        <v>0</v>
      </c>
      <c r="BJ17" s="565">
        <v>21988</v>
      </c>
      <c r="BK17" s="565">
        <v>0</v>
      </c>
      <c r="BL17" s="511"/>
      <c r="BM17" s="565">
        <v>0</v>
      </c>
      <c r="BN17" s="565">
        <v>0</v>
      </c>
    </row>
    <row r="18" spans="1:66" ht="13.2" x14ac:dyDescent="0.25">
      <c r="A18" s="515" t="s">
        <v>618</v>
      </c>
      <c r="B18" s="517">
        <v>1023</v>
      </c>
      <c r="C18" s="517" t="s">
        <v>130</v>
      </c>
      <c r="D18" s="517" t="s">
        <v>36</v>
      </c>
      <c r="E18" s="518" t="s">
        <v>630</v>
      </c>
      <c r="F18" s="540"/>
      <c r="G18" s="540"/>
      <c r="H18" s="540"/>
      <c r="I18" s="540">
        <v>17029.583333333328</v>
      </c>
      <c r="J18" s="540">
        <v>4191.333333333333</v>
      </c>
      <c r="K18" s="540">
        <v>21318.497500000001</v>
      </c>
      <c r="L18" s="541">
        <v>0</v>
      </c>
      <c r="M18" s="541" t="s">
        <v>1476</v>
      </c>
      <c r="N18" s="541">
        <v>0</v>
      </c>
      <c r="O18" s="541">
        <v>0</v>
      </c>
      <c r="P18" s="541">
        <v>0</v>
      </c>
      <c r="Q18" s="541">
        <v>0</v>
      </c>
      <c r="R18" s="541">
        <v>0</v>
      </c>
      <c r="S18" s="542" t="s">
        <v>1476</v>
      </c>
      <c r="T18" s="541">
        <v>0</v>
      </c>
      <c r="U18" s="541">
        <v>0</v>
      </c>
      <c r="V18" s="541">
        <v>0</v>
      </c>
      <c r="W18" s="541" t="s">
        <v>1476</v>
      </c>
      <c r="X18" s="543" t="s">
        <v>1476</v>
      </c>
      <c r="Y18" s="541">
        <v>0</v>
      </c>
      <c r="Z18" s="541">
        <v>0</v>
      </c>
      <c r="AA18" s="541">
        <v>0</v>
      </c>
      <c r="AB18" s="541">
        <v>0</v>
      </c>
      <c r="AC18" s="541">
        <v>0</v>
      </c>
      <c r="AD18" s="541">
        <v>0</v>
      </c>
      <c r="AE18" s="541">
        <v>0</v>
      </c>
      <c r="AF18" s="541">
        <v>0</v>
      </c>
      <c r="AG18" s="541">
        <v>0</v>
      </c>
      <c r="AH18" s="541">
        <v>0</v>
      </c>
      <c r="AI18" s="541">
        <v>13286</v>
      </c>
      <c r="AJ18" s="541">
        <v>4702</v>
      </c>
      <c r="AK18" s="541">
        <v>0</v>
      </c>
      <c r="AL18" s="541">
        <v>0</v>
      </c>
      <c r="AM18" s="541">
        <v>0</v>
      </c>
      <c r="AN18" s="541">
        <v>0</v>
      </c>
      <c r="AO18" s="541">
        <v>0</v>
      </c>
      <c r="AP18" s="541">
        <v>0</v>
      </c>
      <c r="AQ18" s="541">
        <v>0</v>
      </c>
      <c r="AR18" s="541">
        <v>0</v>
      </c>
      <c r="AS18" s="541">
        <v>0</v>
      </c>
      <c r="AT18" s="543">
        <v>0</v>
      </c>
      <c r="AU18" s="541">
        <v>0</v>
      </c>
      <c r="AV18" s="541">
        <v>0</v>
      </c>
      <c r="AW18" s="541">
        <v>0</v>
      </c>
      <c r="AX18" s="541">
        <v>0</v>
      </c>
      <c r="AY18" s="541">
        <v>0</v>
      </c>
      <c r="AZ18" s="541">
        <v>0</v>
      </c>
      <c r="BA18" s="541">
        <v>0</v>
      </c>
      <c r="BB18" s="541">
        <v>0</v>
      </c>
      <c r="BC18" s="544">
        <v>60527.414166666662</v>
      </c>
      <c r="BD18" s="544">
        <v>60527.414166666662</v>
      </c>
      <c r="BE18" s="511"/>
      <c r="BF18" s="565">
        <v>17988</v>
      </c>
      <c r="BG18" s="565">
        <v>42539.414166666662</v>
      </c>
      <c r="BH18" s="565">
        <v>0</v>
      </c>
      <c r="BI18" s="565">
        <v>0</v>
      </c>
      <c r="BJ18" s="565">
        <v>60527.414166666662</v>
      </c>
      <c r="BK18" s="565">
        <v>0</v>
      </c>
      <c r="BL18" s="511"/>
      <c r="BM18" s="565">
        <v>0</v>
      </c>
      <c r="BN18" s="565">
        <v>0</v>
      </c>
    </row>
    <row r="19" spans="1:66" ht="13.2" x14ac:dyDescent="0.25">
      <c r="A19" s="515" t="s">
        <v>618</v>
      </c>
      <c r="B19" s="517">
        <v>1016</v>
      </c>
      <c r="C19" s="517" t="s">
        <v>132</v>
      </c>
      <c r="D19" s="517" t="s">
        <v>36</v>
      </c>
      <c r="E19" s="518" t="s">
        <v>631</v>
      </c>
      <c r="F19" s="540"/>
      <c r="G19" s="540"/>
      <c r="H19" s="540"/>
      <c r="I19" s="540">
        <v>4975</v>
      </c>
      <c r="J19" s="540">
        <v>0</v>
      </c>
      <c r="K19" s="540">
        <v>6965</v>
      </c>
      <c r="L19" s="541">
        <v>4680</v>
      </c>
      <c r="M19" s="541" t="s">
        <v>1476</v>
      </c>
      <c r="N19" s="541">
        <v>0</v>
      </c>
      <c r="O19" s="541">
        <v>0</v>
      </c>
      <c r="P19" s="541">
        <v>0</v>
      </c>
      <c r="Q19" s="541">
        <v>0</v>
      </c>
      <c r="R19" s="541">
        <v>0</v>
      </c>
      <c r="S19" s="542" t="s">
        <v>1476</v>
      </c>
      <c r="T19" s="541">
        <v>0</v>
      </c>
      <c r="U19" s="541">
        <v>0</v>
      </c>
      <c r="V19" s="541">
        <v>0</v>
      </c>
      <c r="W19" s="541" t="s">
        <v>1476</v>
      </c>
      <c r="X19" s="543" t="s">
        <v>1476</v>
      </c>
      <c r="Y19" s="541">
        <v>0</v>
      </c>
      <c r="Z19" s="541">
        <v>0</v>
      </c>
      <c r="AA19" s="541">
        <v>0</v>
      </c>
      <c r="AB19" s="541">
        <v>0</v>
      </c>
      <c r="AC19" s="541">
        <v>0</v>
      </c>
      <c r="AD19" s="541">
        <v>0</v>
      </c>
      <c r="AE19" s="541">
        <v>0</v>
      </c>
      <c r="AF19" s="541">
        <v>0</v>
      </c>
      <c r="AG19" s="541">
        <v>0</v>
      </c>
      <c r="AH19" s="541">
        <v>0</v>
      </c>
      <c r="AI19" s="541">
        <v>13286</v>
      </c>
      <c r="AJ19" s="541">
        <v>4702</v>
      </c>
      <c r="AK19" s="541">
        <v>0</v>
      </c>
      <c r="AL19" s="541">
        <v>0</v>
      </c>
      <c r="AM19" s="541">
        <v>0</v>
      </c>
      <c r="AN19" s="541">
        <v>0</v>
      </c>
      <c r="AO19" s="541">
        <v>0</v>
      </c>
      <c r="AP19" s="541">
        <v>0</v>
      </c>
      <c r="AQ19" s="541">
        <v>0</v>
      </c>
      <c r="AR19" s="541">
        <v>0</v>
      </c>
      <c r="AS19" s="541">
        <v>0</v>
      </c>
      <c r="AT19" s="543">
        <v>0</v>
      </c>
      <c r="AU19" s="541">
        <v>0</v>
      </c>
      <c r="AV19" s="541">
        <v>0</v>
      </c>
      <c r="AW19" s="541">
        <v>0</v>
      </c>
      <c r="AX19" s="541">
        <v>0</v>
      </c>
      <c r="AY19" s="541">
        <v>0</v>
      </c>
      <c r="AZ19" s="541">
        <v>0</v>
      </c>
      <c r="BA19" s="541">
        <v>0</v>
      </c>
      <c r="BB19" s="541">
        <v>0</v>
      </c>
      <c r="BC19" s="544">
        <v>34608</v>
      </c>
      <c r="BD19" s="544">
        <v>34608</v>
      </c>
      <c r="BE19" s="511"/>
      <c r="BF19" s="565">
        <v>17988</v>
      </c>
      <c r="BG19" s="565">
        <v>16620</v>
      </c>
      <c r="BH19" s="565">
        <v>0</v>
      </c>
      <c r="BI19" s="565">
        <v>0</v>
      </c>
      <c r="BJ19" s="565">
        <v>34608</v>
      </c>
      <c r="BK19" s="565">
        <v>0</v>
      </c>
      <c r="BL19" s="511"/>
      <c r="BM19" s="565">
        <v>0</v>
      </c>
      <c r="BN19" s="565">
        <v>0</v>
      </c>
    </row>
    <row r="20" spans="1:66" ht="13.2" x14ac:dyDescent="0.25">
      <c r="A20" s="515" t="s">
        <v>618</v>
      </c>
      <c r="B20" s="517">
        <v>1024</v>
      </c>
      <c r="C20" s="517" t="s">
        <v>134</v>
      </c>
      <c r="D20" s="517" t="s">
        <v>36</v>
      </c>
      <c r="E20" s="518" t="s">
        <v>632</v>
      </c>
      <c r="F20" s="540"/>
      <c r="G20" s="540"/>
      <c r="H20" s="540"/>
      <c r="I20" s="540">
        <v>0</v>
      </c>
      <c r="J20" s="540">
        <v>3984.3333333333335</v>
      </c>
      <c r="K20" s="540">
        <v>7724.5833333333339</v>
      </c>
      <c r="L20" s="541">
        <v>0</v>
      </c>
      <c r="M20" s="541" t="s">
        <v>1476</v>
      </c>
      <c r="N20" s="541">
        <v>0</v>
      </c>
      <c r="O20" s="541">
        <v>0</v>
      </c>
      <c r="P20" s="541">
        <v>0</v>
      </c>
      <c r="Q20" s="541">
        <v>0</v>
      </c>
      <c r="R20" s="541">
        <v>0</v>
      </c>
      <c r="S20" s="542" t="s">
        <v>1476</v>
      </c>
      <c r="T20" s="541">
        <v>0</v>
      </c>
      <c r="U20" s="541">
        <v>0</v>
      </c>
      <c r="V20" s="541">
        <v>0</v>
      </c>
      <c r="W20" s="541" t="s">
        <v>1476</v>
      </c>
      <c r="X20" s="543" t="s">
        <v>1476</v>
      </c>
      <c r="Y20" s="541">
        <v>0</v>
      </c>
      <c r="Z20" s="541">
        <v>0</v>
      </c>
      <c r="AA20" s="541">
        <v>0</v>
      </c>
      <c r="AB20" s="541">
        <v>0</v>
      </c>
      <c r="AC20" s="541">
        <v>0</v>
      </c>
      <c r="AD20" s="541">
        <v>0</v>
      </c>
      <c r="AE20" s="541">
        <v>0</v>
      </c>
      <c r="AF20" s="541">
        <v>0</v>
      </c>
      <c r="AG20" s="541">
        <v>0</v>
      </c>
      <c r="AH20" s="541">
        <v>0</v>
      </c>
      <c r="AI20" s="541">
        <v>13286</v>
      </c>
      <c r="AJ20" s="541">
        <v>4702</v>
      </c>
      <c r="AK20" s="541">
        <v>0</v>
      </c>
      <c r="AL20" s="541">
        <v>0</v>
      </c>
      <c r="AM20" s="541">
        <v>0</v>
      </c>
      <c r="AN20" s="541">
        <v>0</v>
      </c>
      <c r="AO20" s="541">
        <v>0</v>
      </c>
      <c r="AP20" s="541">
        <v>0</v>
      </c>
      <c r="AQ20" s="541">
        <v>0</v>
      </c>
      <c r="AR20" s="541">
        <v>0</v>
      </c>
      <c r="AS20" s="541">
        <v>0</v>
      </c>
      <c r="AT20" s="543">
        <v>0</v>
      </c>
      <c r="AU20" s="541">
        <v>0</v>
      </c>
      <c r="AV20" s="541">
        <v>0</v>
      </c>
      <c r="AW20" s="541">
        <v>0</v>
      </c>
      <c r="AX20" s="541">
        <v>0</v>
      </c>
      <c r="AY20" s="541">
        <v>0</v>
      </c>
      <c r="AZ20" s="541">
        <v>0</v>
      </c>
      <c r="BA20" s="541">
        <v>0</v>
      </c>
      <c r="BB20" s="541">
        <v>0</v>
      </c>
      <c r="BC20" s="544">
        <v>29696.916666666668</v>
      </c>
      <c r="BD20" s="544">
        <v>29696.916666666668</v>
      </c>
      <c r="BE20" s="511"/>
      <c r="BF20" s="565">
        <v>17988</v>
      </c>
      <c r="BG20" s="565">
        <v>11708.916666666668</v>
      </c>
      <c r="BH20" s="565">
        <v>0</v>
      </c>
      <c r="BI20" s="565">
        <v>0</v>
      </c>
      <c r="BJ20" s="565">
        <v>29696.916666666668</v>
      </c>
      <c r="BK20" s="565">
        <v>0</v>
      </c>
      <c r="BL20" s="511"/>
      <c r="BM20" s="565">
        <v>0</v>
      </c>
      <c r="BN20" s="565">
        <v>0</v>
      </c>
    </row>
    <row r="21" spans="1:66" ht="13.2" x14ac:dyDescent="0.25">
      <c r="A21" s="515" t="s">
        <v>618</v>
      </c>
      <c r="B21" s="517">
        <v>1012</v>
      </c>
      <c r="C21" s="517" t="s">
        <v>136</v>
      </c>
      <c r="D21" s="517" t="s">
        <v>36</v>
      </c>
      <c r="E21" s="518" t="s">
        <v>633</v>
      </c>
      <c r="F21" s="540"/>
      <c r="G21" s="540"/>
      <c r="H21" s="540"/>
      <c r="I21" s="540">
        <v>0</v>
      </c>
      <c r="J21" s="540">
        <v>0</v>
      </c>
      <c r="K21" s="540">
        <v>0</v>
      </c>
      <c r="L21" s="541">
        <v>0</v>
      </c>
      <c r="M21" s="541" t="s">
        <v>1476</v>
      </c>
      <c r="N21" s="541">
        <v>0</v>
      </c>
      <c r="O21" s="541">
        <v>0</v>
      </c>
      <c r="P21" s="541">
        <v>0</v>
      </c>
      <c r="Q21" s="541">
        <v>0</v>
      </c>
      <c r="R21" s="541">
        <v>0</v>
      </c>
      <c r="S21" s="542" t="s">
        <v>1476</v>
      </c>
      <c r="T21" s="541">
        <v>0</v>
      </c>
      <c r="U21" s="541">
        <v>0</v>
      </c>
      <c r="V21" s="541">
        <v>0</v>
      </c>
      <c r="W21" s="541" t="s">
        <v>1476</v>
      </c>
      <c r="X21" s="543" t="s">
        <v>1476</v>
      </c>
      <c r="Y21" s="541">
        <v>0</v>
      </c>
      <c r="Z21" s="541">
        <v>0</v>
      </c>
      <c r="AA21" s="541">
        <v>0</v>
      </c>
      <c r="AB21" s="541">
        <v>0</v>
      </c>
      <c r="AC21" s="541">
        <v>0</v>
      </c>
      <c r="AD21" s="541">
        <v>0</v>
      </c>
      <c r="AE21" s="541">
        <v>0</v>
      </c>
      <c r="AF21" s="541">
        <v>0</v>
      </c>
      <c r="AG21" s="541">
        <v>0</v>
      </c>
      <c r="AH21" s="541">
        <v>0</v>
      </c>
      <c r="AI21" s="541">
        <v>16214</v>
      </c>
      <c r="AJ21" s="541">
        <v>5595</v>
      </c>
      <c r="AK21" s="541">
        <v>0</v>
      </c>
      <c r="AL21" s="541">
        <v>0</v>
      </c>
      <c r="AM21" s="541">
        <v>0</v>
      </c>
      <c r="AN21" s="541">
        <v>0</v>
      </c>
      <c r="AO21" s="541">
        <v>0</v>
      </c>
      <c r="AP21" s="541">
        <v>0</v>
      </c>
      <c r="AQ21" s="541">
        <v>0</v>
      </c>
      <c r="AR21" s="541">
        <v>0</v>
      </c>
      <c r="AS21" s="541">
        <v>0</v>
      </c>
      <c r="AT21" s="543">
        <v>0</v>
      </c>
      <c r="AU21" s="541">
        <v>0</v>
      </c>
      <c r="AV21" s="541">
        <v>0</v>
      </c>
      <c r="AW21" s="541">
        <v>0</v>
      </c>
      <c r="AX21" s="541">
        <v>0</v>
      </c>
      <c r="AY21" s="541">
        <v>0</v>
      </c>
      <c r="AZ21" s="541">
        <v>0</v>
      </c>
      <c r="BA21" s="541">
        <v>0</v>
      </c>
      <c r="BB21" s="541">
        <v>0</v>
      </c>
      <c r="BC21" s="544">
        <v>21809</v>
      </c>
      <c r="BD21" s="544">
        <v>21809</v>
      </c>
      <c r="BE21" s="511"/>
      <c r="BF21" s="565">
        <v>21809</v>
      </c>
      <c r="BG21" s="565">
        <v>0</v>
      </c>
      <c r="BH21" s="565">
        <v>0</v>
      </c>
      <c r="BI21" s="565">
        <v>0</v>
      </c>
      <c r="BJ21" s="565">
        <v>21809</v>
      </c>
      <c r="BK21" s="565">
        <v>0</v>
      </c>
      <c r="BL21" s="511"/>
      <c r="BM21" s="565">
        <v>0</v>
      </c>
      <c r="BN21" s="565">
        <v>0</v>
      </c>
    </row>
    <row r="22" spans="1:66" ht="13.2" x14ac:dyDescent="0.25">
      <c r="A22" s="515" t="s">
        <v>618</v>
      </c>
      <c r="B22" s="517">
        <v>1028</v>
      </c>
      <c r="C22" s="517" t="s">
        <v>138</v>
      </c>
      <c r="D22" s="517" t="s">
        <v>36</v>
      </c>
      <c r="E22" s="518" t="s">
        <v>634</v>
      </c>
      <c r="F22" s="540"/>
      <c r="G22" s="540"/>
      <c r="H22" s="540"/>
      <c r="I22" s="540">
        <v>0</v>
      </c>
      <c r="J22" s="540">
        <v>0</v>
      </c>
      <c r="K22" s="540">
        <v>4175</v>
      </c>
      <c r="L22" s="541">
        <v>0</v>
      </c>
      <c r="M22" s="541" t="s">
        <v>1476</v>
      </c>
      <c r="N22" s="541">
        <v>0</v>
      </c>
      <c r="O22" s="541">
        <v>0</v>
      </c>
      <c r="P22" s="541">
        <v>0</v>
      </c>
      <c r="Q22" s="541">
        <v>0</v>
      </c>
      <c r="R22" s="541">
        <v>0</v>
      </c>
      <c r="S22" s="542" t="s">
        <v>1476</v>
      </c>
      <c r="T22" s="541">
        <v>0</v>
      </c>
      <c r="U22" s="541">
        <v>0</v>
      </c>
      <c r="V22" s="541">
        <v>0</v>
      </c>
      <c r="W22" s="541" t="s">
        <v>1476</v>
      </c>
      <c r="X22" s="543" t="s">
        <v>1476</v>
      </c>
      <c r="Y22" s="541">
        <v>0</v>
      </c>
      <c r="Z22" s="541">
        <v>0</v>
      </c>
      <c r="AA22" s="541">
        <v>0</v>
      </c>
      <c r="AB22" s="541">
        <v>0</v>
      </c>
      <c r="AC22" s="541">
        <v>0</v>
      </c>
      <c r="AD22" s="541">
        <v>0</v>
      </c>
      <c r="AE22" s="541">
        <v>0</v>
      </c>
      <c r="AF22" s="541">
        <v>0</v>
      </c>
      <c r="AG22" s="541">
        <v>0</v>
      </c>
      <c r="AH22" s="541">
        <v>0</v>
      </c>
      <c r="AI22" s="541">
        <v>13552</v>
      </c>
      <c r="AJ22" s="541">
        <v>4796</v>
      </c>
      <c r="AK22" s="541">
        <v>0</v>
      </c>
      <c r="AL22" s="541">
        <v>0</v>
      </c>
      <c r="AM22" s="541">
        <v>0</v>
      </c>
      <c r="AN22" s="541">
        <v>0</v>
      </c>
      <c r="AO22" s="541">
        <v>0</v>
      </c>
      <c r="AP22" s="541">
        <v>0</v>
      </c>
      <c r="AQ22" s="541">
        <v>0</v>
      </c>
      <c r="AR22" s="541">
        <v>0</v>
      </c>
      <c r="AS22" s="541">
        <v>0</v>
      </c>
      <c r="AT22" s="543">
        <v>0</v>
      </c>
      <c r="AU22" s="541">
        <v>0</v>
      </c>
      <c r="AV22" s="541">
        <v>0</v>
      </c>
      <c r="AW22" s="541">
        <v>0</v>
      </c>
      <c r="AX22" s="541">
        <v>0</v>
      </c>
      <c r="AY22" s="541">
        <v>0</v>
      </c>
      <c r="AZ22" s="541">
        <v>0</v>
      </c>
      <c r="BA22" s="541">
        <v>0</v>
      </c>
      <c r="BB22" s="541">
        <v>0</v>
      </c>
      <c r="BC22" s="544">
        <v>22523</v>
      </c>
      <c r="BD22" s="544">
        <v>22523</v>
      </c>
      <c r="BE22" s="511"/>
      <c r="BF22" s="565">
        <v>18348</v>
      </c>
      <c r="BG22" s="565">
        <v>4175</v>
      </c>
      <c r="BH22" s="565">
        <v>0</v>
      </c>
      <c r="BI22" s="565">
        <v>0</v>
      </c>
      <c r="BJ22" s="565">
        <v>22523</v>
      </c>
      <c r="BK22" s="565">
        <v>0</v>
      </c>
      <c r="BL22" s="511"/>
      <c r="BM22" s="565">
        <v>0</v>
      </c>
      <c r="BN22" s="565">
        <v>0</v>
      </c>
    </row>
    <row r="23" spans="1:66" ht="13.2" x14ac:dyDescent="0.25">
      <c r="A23" s="515" t="s">
        <v>618</v>
      </c>
      <c r="B23" s="517">
        <v>1049</v>
      </c>
      <c r="C23" s="517" t="s">
        <v>140</v>
      </c>
      <c r="D23" s="517" t="s">
        <v>36</v>
      </c>
      <c r="E23" s="518" t="s">
        <v>635</v>
      </c>
      <c r="F23" s="540"/>
      <c r="G23" s="540"/>
      <c r="H23" s="540"/>
      <c r="I23" s="540">
        <v>7317.083333333333</v>
      </c>
      <c r="J23" s="540">
        <v>2500.0033333333299</v>
      </c>
      <c r="K23" s="540">
        <v>0</v>
      </c>
      <c r="L23" s="541">
        <v>5731</v>
      </c>
      <c r="M23" s="541" t="s">
        <v>1476</v>
      </c>
      <c r="N23" s="541">
        <v>0</v>
      </c>
      <c r="O23" s="541">
        <v>0</v>
      </c>
      <c r="P23" s="541">
        <v>0</v>
      </c>
      <c r="Q23" s="541">
        <v>0</v>
      </c>
      <c r="R23" s="541">
        <v>0</v>
      </c>
      <c r="S23" s="542" t="s">
        <v>1476</v>
      </c>
      <c r="T23" s="541">
        <v>0</v>
      </c>
      <c r="U23" s="541">
        <v>0</v>
      </c>
      <c r="V23" s="541">
        <v>0</v>
      </c>
      <c r="W23" s="541" t="s">
        <v>1476</v>
      </c>
      <c r="X23" s="543" t="s">
        <v>1476</v>
      </c>
      <c r="Y23" s="541">
        <v>0</v>
      </c>
      <c r="Z23" s="541">
        <v>0</v>
      </c>
      <c r="AA23" s="541">
        <v>0</v>
      </c>
      <c r="AB23" s="541">
        <v>0</v>
      </c>
      <c r="AC23" s="541">
        <v>0</v>
      </c>
      <c r="AD23" s="541">
        <v>0</v>
      </c>
      <c r="AE23" s="541">
        <v>0</v>
      </c>
      <c r="AF23" s="541">
        <v>0</v>
      </c>
      <c r="AG23" s="541">
        <v>0</v>
      </c>
      <c r="AH23" s="541">
        <v>0</v>
      </c>
      <c r="AI23" s="541">
        <v>13419</v>
      </c>
      <c r="AJ23" s="541">
        <v>4749</v>
      </c>
      <c r="AK23" s="541">
        <v>0</v>
      </c>
      <c r="AL23" s="541">
        <v>0</v>
      </c>
      <c r="AM23" s="541">
        <v>0</v>
      </c>
      <c r="AN23" s="541">
        <v>0</v>
      </c>
      <c r="AO23" s="541">
        <v>0</v>
      </c>
      <c r="AP23" s="541">
        <v>0</v>
      </c>
      <c r="AQ23" s="541">
        <v>0</v>
      </c>
      <c r="AR23" s="541">
        <v>0</v>
      </c>
      <c r="AS23" s="541">
        <v>0</v>
      </c>
      <c r="AT23" s="543">
        <v>0</v>
      </c>
      <c r="AU23" s="541">
        <v>0</v>
      </c>
      <c r="AV23" s="541">
        <v>0</v>
      </c>
      <c r="AW23" s="541">
        <v>0</v>
      </c>
      <c r="AX23" s="541">
        <v>0</v>
      </c>
      <c r="AY23" s="541">
        <v>0</v>
      </c>
      <c r="AZ23" s="541">
        <v>0</v>
      </c>
      <c r="BA23" s="541">
        <v>0</v>
      </c>
      <c r="BB23" s="541">
        <v>0</v>
      </c>
      <c r="BC23" s="544">
        <v>33716.086666666662</v>
      </c>
      <c r="BD23" s="544">
        <v>33716.086666666662</v>
      </c>
      <c r="BE23" s="511"/>
      <c r="BF23" s="565">
        <v>18168</v>
      </c>
      <c r="BG23" s="565">
        <v>15548.086666666662</v>
      </c>
      <c r="BH23" s="565">
        <v>0</v>
      </c>
      <c r="BI23" s="565">
        <v>0</v>
      </c>
      <c r="BJ23" s="565">
        <v>33716.086666666662</v>
      </c>
      <c r="BK23" s="565">
        <v>0</v>
      </c>
      <c r="BL23" s="511"/>
      <c r="BM23" s="565">
        <v>0</v>
      </c>
      <c r="BN23" s="565">
        <v>0</v>
      </c>
    </row>
    <row r="24" spans="1:66" ht="13.2" x14ac:dyDescent="0.25">
      <c r="A24" s="515" t="s">
        <v>618</v>
      </c>
      <c r="B24" s="517">
        <v>1008</v>
      </c>
      <c r="C24" s="517" t="s">
        <v>142</v>
      </c>
      <c r="D24" s="517" t="s">
        <v>36</v>
      </c>
      <c r="E24" s="518" t="s">
        <v>636</v>
      </c>
      <c r="F24" s="540"/>
      <c r="G24" s="540"/>
      <c r="H24" s="540"/>
      <c r="I24" s="540">
        <v>1307.0833333333335</v>
      </c>
      <c r="J24" s="540">
        <v>0</v>
      </c>
      <c r="K24" s="540">
        <v>0</v>
      </c>
      <c r="L24" s="541">
        <v>0</v>
      </c>
      <c r="M24" s="541" t="s">
        <v>1476</v>
      </c>
      <c r="N24" s="541">
        <v>0</v>
      </c>
      <c r="O24" s="541">
        <v>0</v>
      </c>
      <c r="P24" s="541">
        <v>0</v>
      </c>
      <c r="Q24" s="541">
        <v>0</v>
      </c>
      <c r="R24" s="541">
        <v>0</v>
      </c>
      <c r="S24" s="542" t="s">
        <v>1476</v>
      </c>
      <c r="T24" s="541">
        <v>0</v>
      </c>
      <c r="U24" s="541">
        <v>0</v>
      </c>
      <c r="V24" s="541">
        <v>0</v>
      </c>
      <c r="W24" s="541" t="s">
        <v>1476</v>
      </c>
      <c r="X24" s="543" t="s">
        <v>1476</v>
      </c>
      <c r="Y24" s="541">
        <v>0</v>
      </c>
      <c r="Z24" s="541">
        <v>0</v>
      </c>
      <c r="AA24" s="541">
        <v>0</v>
      </c>
      <c r="AB24" s="541">
        <v>0</v>
      </c>
      <c r="AC24" s="541">
        <v>0</v>
      </c>
      <c r="AD24" s="541">
        <v>0</v>
      </c>
      <c r="AE24" s="541">
        <v>0</v>
      </c>
      <c r="AF24" s="541">
        <v>0</v>
      </c>
      <c r="AG24" s="541">
        <v>0</v>
      </c>
      <c r="AH24" s="541">
        <v>0</v>
      </c>
      <c r="AI24" s="541">
        <v>13286</v>
      </c>
      <c r="AJ24" s="541">
        <v>4702</v>
      </c>
      <c r="AK24" s="541">
        <v>0</v>
      </c>
      <c r="AL24" s="541">
        <v>0</v>
      </c>
      <c r="AM24" s="541">
        <v>0</v>
      </c>
      <c r="AN24" s="541">
        <v>0</v>
      </c>
      <c r="AO24" s="541">
        <v>0</v>
      </c>
      <c r="AP24" s="541">
        <v>0</v>
      </c>
      <c r="AQ24" s="541">
        <v>0</v>
      </c>
      <c r="AR24" s="541">
        <v>0</v>
      </c>
      <c r="AS24" s="541">
        <v>0</v>
      </c>
      <c r="AT24" s="543">
        <v>0</v>
      </c>
      <c r="AU24" s="541">
        <v>0</v>
      </c>
      <c r="AV24" s="541">
        <v>0</v>
      </c>
      <c r="AW24" s="541">
        <v>0</v>
      </c>
      <c r="AX24" s="541">
        <v>0</v>
      </c>
      <c r="AY24" s="541">
        <v>0</v>
      </c>
      <c r="AZ24" s="541">
        <v>0</v>
      </c>
      <c r="BA24" s="541">
        <v>0</v>
      </c>
      <c r="BB24" s="541">
        <v>0</v>
      </c>
      <c r="BC24" s="544">
        <v>19295.083333333336</v>
      </c>
      <c r="BD24" s="544">
        <v>19295.083333333336</v>
      </c>
      <c r="BE24" s="511"/>
      <c r="BF24" s="565">
        <v>17988</v>
      </c>
      <c r="BG24" s="565">
        <v>1307.0833333333335</v>
      </c>
      <c r="BH24" s="565">
        <v>0</v>
      </c>
      <c r="BI24" s="565">
        <v>0</v>
      </c>
      <c r="BJ24" s="565">
        <v>19295.083333333332</v>
      </c>
      <c r="BK24" s="565">
        <v>0</v>
      </c>
      <c r="BL24" s="511"/>
      <c r="BM24" s="565">
        <v>0</v>
      </c>
      <c r="BN24" s="565">
        <v>0</v>
      </c>
    </row>
    <row r="25" spans="1:66" ht="13.2" x14ac:dyDescent="0.25">
      <c r="A25" s="515" t="s">
        <v>618</v>
      </c>
      <c r="B25" s="517">
        <v>1018</v>
      </c>
      <c r="C25" s="517" t="s">
        <v>146</v>
      </c>
      <c r="D25" s="517" t="s">
        <v>36</v>
      </c>
      <c r="E25" s="518" t="s">
        <v>637</v>
      </c>
      <c r="F25" s="540"/>
      <c r="G25" s="540"/>
      <c r="H25" s="540"/>
      <c r="I25" s="540">
        <v>10348.333333333332</v>
      </c>
      <c r="J25" s="540">
        <v>0</v>
      </c>
      <c r="K25" s="540">
        <v>866.125</v>
      </c>
      <c r="L25" s="541">
        <v>0</v>
      </c>
      <c r="M25" s="541" t="s">
        <v>1476</v>
      </c>
      <c r="N25" s="541">
        <v>0</v>
      </c>
      <c r="O25" s="541">
        <v>0</v>
      </c>
      <c r="P25" s="541">
        <v>0</v>
      </c>
      <c r="Q25" s="541">
        <v>0</v>
      </c>
      <c r="R25" s="541">
        <v>0</v>
      </c>
      <c r="S25" s="542" t="s">
        <v>1476</v>
      </c>
      <c r="T25" s="541">
        <v>0</v>
      </c>
      <c r="U25" s="541">
        <v>0</v>
      </c>
      <c r="V25" s="541">
        <v>0</v>
      </c>
      <c r="W25" s="541" t="s">
        <v>1476</v>
      </c>
      <c r="X25" s="543" t="s">
        <v>1476</v>
      </c>
      <c r="Y25" s="541">
        <v>0</v>
      </c>
      <c r="Z25" s="541">
        <v>0</v>
      </c>
      <c r="AA25" s="541">
        <v>0</v>
      </c>
      <c r="AB25" s="541">
        <v>0</v>
      </c>
      <c r="AC25" s="541">
        <v>0</v>
      </c>
      <c r="AD25" s="541">
        <v>0</v>
      </c>
      <c r="AE25" s="541">
        <v>0</v>
      </c>
      <c r="AF25" s="541">
        <v>0</v>
      </c>
      <c r="AG25" s="541">
        <v>0</v>
      </c>
      <c r="AH25" s="541">
        <v>0</v>
      </c>
      <c r="AI25" s="541">
        <v>17272</v>
      </c>
      <c r="AJ25" s="541">
        <v>6113</v>
      </c>
      <c r="AK25" s="541">
        <v>0</v>
      </c>
      <c r="AL25" s="541">
        <v>0</v>
      </c>
      <c r="AM25" s="541">
        <v>0</v>
      </c>
      <c r="AN25" s="541">
        <v>0</v>
      </c>
      <c r="AO25" s="541">
        <v>0</v>
      </c>
      <c r="AP25" s="541">
        <v>0</v>
      </c>
      <c r="AQ25" s="541">
        <v>0</v>
      </c>
      <c r="AR25" s="541">
        <v>0</v>
      </c>
      <c r="AS25" s="541">
        <v>0</v>
      </c>
      <c r="AT25" s="543">
        <v>0</v>
      </c>
      <c r="AU25" s="541">
        <v>0</v>
      </c>
      <c r="AV25" s="541">
        <v>0</v>
      </c>
      <c r="AW25" s="541">
        <v>0</v>
      </c>
      <c r="AX25" s="541">
        <v>0</v>
      </c>
      <c r="AY25" s="541">
        <v>0</v>
      </c>
      <c r="AZ25" s="541">
        <v>0</v>
      </c>
      <c r="BA25" s="541">
        <v>0</v>
      </c>
      <c r="BB25" s="541">
        <v>0</v>
      </c>
      <c r="BC25" s="544">
        <v>34599.458333333328</v>
      </c>
      <c r="BD25" s="544">
        <v>34599.458333333328</v>
      </c>
      <c r="BE25" s="511"/>
      <c r="BF25" s="565">
        <v>23385</v>
      </c>
      <c r="BG25" s="565">
        <v>11214.458333333332</v>
      </c>
      <c r="BH25" s="565">
        <v>0</v>
      </c>
      <c r="BI25" s="565">
        <v>0</v>
      </c>
      <c r="BJ25" s="565">
        <v>34599.458333333328</v>
      </c>
      <c r="BK25" s="565">
        <v>0</v>
      </c>
      <c r="BL25" s="511"/>
      <c r="BM25" s="565">
        <v>0</v>
      </c>
      <c r="BN25" s="565">
        <v>0</v>
      </c>
    </row>
    <row r="26" spans="1:66" ht="13.2" x14ac:dyDescent="0.25">
      <c r="A26" s="515" t="s">
        <v>618</v>
      </c>
      <c r="B26" s="517">
        <v>1000</v>
      </c>
      <c r="C26" s="517" t="s">
        <v>148</v>
      </c>
      <c r="D26" s="517" t="s">
        <v>36</v>
      </c>
      <c r="E26" s="518" t="s">
        <v>638</v>
      </c>
      <c r="F26" s="540"/>
      <c r="G26" s="540"/>
      <c r="H26" s="540"/>
      <c r="I26" s="540">
        <v>2400</v>
      </c>
      <c r="J26" s="540">
        <v>0</v>
      </c>
      <c r="K26" s="540">
        <v>0</v>
      </c>
      <c r="L26" s="541">
        <v>0</v>
      </c>
      <c r="M26" s="541" t="s">
        <v>1476</v>
      </c>
      <c r="N26" s="541">
        <v>0</v>
      </c>
      <c r="O26" s="541">
        <v>0</v>
      </c>
      <c r="P26" s="541">
        <v>0</v>
      </c>
      <c r="Q26" s="541">
        <v>0</v>
      </c>
      <c r="R26" s="541">
        <v>0</v>
      </c>
      <c r="S26" s="542" t="s">
        <v>1476</v>
      </c>
      <c r="T26" s="541">
        <v>0</v>
      </c>
      <c r="U26" s="541">
        <v>0</v>
      </c>
      <c r="V26" s="541">
        <v>0</v>
      </c>
      <c r="W26" s="541" t="s">
        <v>1476</v>
      </c>
      <c r="X26" s="543" t="s">
        <v>1476</v>
      </c>
      <c r="Y26" s="541">
        <v>0</v>
      </c>
      <c r="Z26" s="541">
        <v>0</v>
      </c>
      <c r="AA26" s="541">
        <v>0</v>
      </c>
      <c r="AB26" s="541">
        <v>0</v>
      </c>
      <c r="AC26" s="541">
        <v>0</v>
      </c>
      <c r="AD26" s="541">
        <v>0</v>
      </c>
      <c r="AE26" s="541">
        <v>0</v>
      </c>
      <c r="AF26" s="541">
        <v>0</v>
      </c>
      <c r="AG26" s="541">
        <v>0</v>
      </c>
      <c r="AH26" s="541">
        <v>0</v>
      </c>
      <c r="AI26" s="541">
        <v>13286</v>
      </c>
      <c r="AJ26" s="541">
        <v>4702</v>
      </c>
      <c r="AK26" s="541">
        <v>0</v>
      </c>
      <c r="AL26" s="541">
        <v>0</v>
      </c>
      <c r="AM26" s="541">
        <v>0</v>
      </c>
      <c r="AN26" s="541">
        <v>0</v>
      </c>
      <c r="AO26" s="541">
        <v>0</v>
      </c>
      <c r="AP26" s="541">
        <v>0</v>
      </c>
      <c r="AQ26" s="541">
        <v>0</v>
      </c>
      <c r="AR26" s="541">
        <v>0</v>
      </c>
      <c r="AS26" s="541">
        <v>2484.3499999999995</v>
      </c>
      <c r="AT26" s="543">
        <v>0</v>
      </c>
      <c r="AU26" s="541">
        <v>0</v>
      </c>
      <c r="AV26" s="541">
        <v>0</v>
      </c>
      <c r="AW26" s="541">
        <v>0</v>
      </c>
      <c r="AX26" s="541">
        <v>0</v>
      </c>
      <c r="AY26" s="541">
        <v>0</v>
      </c>
      <c r="AZ26" s="541">
        <v>0</v>
      </c>
      <c r="BA26" s="541">
        <v>0</v>
      </c>
      <c r="BB26" s="541">
        <v>0</v>
      </c>
      <c r="BC26" s="544">
        <v>22872.35</v>
      </c>
      <c r="BD26" s="544">
        <v>22872.35</v>
      </c>
      <c r="BE26" s="511"/>
      <c r="BF26" s="565">
        <v>20472.349999999999</v>
      </c>
      <c r="BG26" s="565">
        <v>2400</v>
      </c>
      <c r="BH26" s="565">
        <v>0</v>
      </c>
      <c r="BI26" s="565">
        <v>0</v>
      </c>
      <c r="BJ26" s="565">
        <v>22872.35</v>
      </c>
      <c r="BK26" s="565">
        <v>0</v>
      </c>
      <c r="BL26" s="511"/>
      <c r="BM26" s="565">
        <v>0</v>
      </c>
      <c r="BN26" s="565">
        <v>0</v>
      </c>
    </row>
    <row r="27" spans="1:66" ht="13.2" x14ac:dyDescent="0.25">
      <c r="A27" s="515" t="s">
        <v>618</v>
      </c>
      <c r="B27" s="517">
        <v>1038</v>
      </c>
      <c r="C27" s="517" t="s">
        <v>150</v>
      </c>
      <c r="D27" s="517" t="s">
        <v>107</v>
      </c>
      <c r="E27" s="518" t="s">
        <v>639</v>
      </c>
      <c r="F27" s="540"/>
      <c r="G27" s="540"/>
      <c r="H27" s="540"/>
      <c r="I27" s="540">
        <v>12304.583333333332</v>
      </c>
      <c r="J27" s="540">
        <v>12166.999999999998</v>
      </c>
      <c r="K27" s="540">
        <v>18713.414166666669</v>
      </c>
      <c r="L27" s="541">
        <v>0</v>
      </c>
      <c r="M27" s="541" t="s">
        <v>1476</v>
      </c>
      <c r="N27" s="541">
        <v>0</v>
      </c>
      <c r="O27" s="541">
        <v>0</v>
      </c>
      <c r="P27" s="541">
        <v>0</v>
      </c>
      <c r="Q27" s="541">
        <v>0</v>
      </c>
      <c r="R27" s="541">
        <v>0</v>
      </c>
      <c r="S27" s="542" t="s">
        <v>1476</v>
      </c>
      <c r="T27" s="541">
        <v>0</v>
      </c>
      <c r="U27" s="541">
        <v>0</v>
      </c>
      <c r="V27" s="541">
        <v>0</v>
      </c>
      <c r="W27" s="541" t="s">
        <v>1476</v>
      </c>
      <c r="X27" s="543" t="s">
        <v>1476</v>
      </c>
      <c r="Y27" s="541">
        <v>0</v>
      </c>
      <c r="Z27" s="541">
        <v>0</v>
      </c>
      <c r="AA27" s="541">
        <v>0</v>
      </c>
      <c r="AB27" s="541">
        <v>0</v>
      </c>
      <c r="AC27" s="541">
        <v>0</v>
      </c>
      <c r="AD27" s="541">
        <v>0</v>
      </c>
      <c r="AE27" s="541">
        <v>0</v>
      </c>
      <c r="AF27" s="541">
        <v>0</v>
      </c>
      <c r="AG27" s="541">
        <v>0</v>
      </c>
      <c r="AH27" s="541">
        <v>0</v>
      </c>
      <c r="AI27" s="541">
        <v>18202</v>
      </c>
      <c r="AJ27" s="541">
        <v>6442</v>
      </c>
      <c r="AK27" s="541">
        <v>0</v>
      </c>
      <c r="AL27" s="541">
        <v>0</v>
      </c>
      <c r="AM27" s="541">
        <v>0</v>
      </c>
      <c r="AN27" s="541">
        <v>0</v>
      </c>
      <c r="AO27" s="541">
        <v>0</v>
      </c>
      <c r="AP27" s="541">
        <v>0</v>
      </c>
      <c r="AQ27" s="541">
        <v>0</v>
      </c>
      <c r="AR27" s="541">
        <v>0</v>
      </c>
      <c r="AS27" s="541">
        <v>0</v>
      </c>
      <c r="AT27" s="543">
        <v>0</v>
      </c>
      <c r="AU27" s="541">
        <v>0</v>
      </c>
      <c r="AV27" s="541">
        <v>0</v>
      </c>
      <c r="AW27" s="541">
        <v>0</v>
      </c>
      <c r="AX27" s="541">
        <v>0</v>
      </c>
      <c r="AY27" s="541">
        <v>0</v>
      </c>
      <c r="AZ27" s="541">
        <v>0</v>
      </c>
      <c r="BA27" s="541">
        <v>0</v>
      </c>
      <c r="BB27" s="541">
        <v>0</v>
      </c>
      <c r="BC27" s="544">
        <v>67828.997499999998</v>
      </c>
      <c r="BD27" s="544">
        <v>67828.997499999998</v>
      </c>
      <c r="BE27" s="511"/>
      <c r="BF27" s="565">
        <v>24644</v>
      </c>
      <c r="BG27" s="565">
        <v>43184.997499999998</v>
      </c>
      <c r="BH27" s="565">
        <v>0</v>
      </c>
      <c r="BI27" s="565">
        <v>0</v>
      </c>
      <c r="BJ27" s="565">
        <v>67828.997499999998</v>
      </c>
      <c r="BK27" s="565">
        <v>0</v>
      </c>
      <c r="BL27" s="511"/>
      <c r="BM27" s="565">
        <v>0</v>
      </c>
      <c r="BN27" s="565">
        <v>0</v>
      </c>
    </row>
    <row r="28" spans="1:66" ht="13.2" x14ac:dyDescent="0.25">
      <c r="A28" s="515" t="s">
        <v>618</v>
      </c>
      <c r="B28" s="517">
        <v>1009</v>
      </c>
      <c r="C28" s="517" t="s">
        <v>144</v>
      </c>
      <c r="D28" s="517" t="s">
        <v>36</v>
      </c>
      <c r="E28" s="518" t="s">
        <v>640</v>
      </c>
      <c r="F28" s="540"/>
      <c r="G28" s="540"/>
      <c r="H28" s="540"/>
      <c r="I28" s="540">
        <v>0</v>
      </c>
      <c r="J28" s="540">
        <v>3390.666666666667</v>
      </c>
      <c r="K28" s="540">
        <v>0</v>
      </c>
      <c r="L28" s="541">
        <v>0</v>
      </c>
      <c r="M28" s="541" t="s">
        <v>1476</v>
      </c>
      <c r="N28" s="541">
        <v>0</v>
      </c>
      <c r="O28" s="541">
        <v>0</v>
      </c>
      <c r="P28" s="541">
        <v>0</v>
      </c>
      <c r="Q28" s="541">
        <v>0</v>
      </c>
      <c r="R28" s="541">
        <v>0</v>
      </c>
      <c r="S28" s="542" t="s">
        <v>1476</v>
      </c>
      <c r="T28" s="541">
        <v>0</v>
      </c>
      <c r="U28" s="541">
        <v>0</v>
      </c>
      <c r="V28" s="541">
        <v>0</v>
      </c>
      <c r="W28" s="541" t="s">
        <v>1476</v>
      </c>
      <c r="X28" s="543" t="s">
        <v>1476</v>
      </c>
      <c r="Y28" s="541">
        <v>0</v>
      </c>
      <c r="Z28" s="541">
        <v>0</v>
      </c>
      <c r="AA28" s="541">
        <v>0</v>
      </c>
      <c r="AB28" s="541">
        <v>0</v>
      </c>
      <c r="AC28" s="541">
        <v>0</v>
      </c>
      <c r="AD28" s="541">
        <v>0</v>
      </c>
      <c r="AE28" s="541">
        <v>0</v>
      </c>
      <c r="AF28" s="541">
        <v>0</v>
      </c>
      <c r="AG28" s="541">
        <v>0</v>
      </c>
      <c r="AH28" s="541">
        <v>0</v>
      </c>
      <c r="AI28" s="541">
        <v>18734</v>
      </c>
      <c r="AJ28" s="541">
        <v>6630</v>
      </c>
      <c r="AK28" s="541">
        <v>0</v>
      </c>
      <c r="AL28" s="541">
        <v>0</v>
      </c>
      <c r="AM28" s="541">
        <v>0</v>
      </c>
      <c r="AN28" s="541">
        <v>0</v>
      </c>
      <c r="AO28" s="541">
        <v>0</v>
      </c>
      <c r="AP28" s="541">
        <v>0</v>
      </c>
      <c r="AQ28" s="541">
        <v>0</v>
      </c>
      <c r="AR28" s="541">
        <v>0</v>
      </c>
      <c r="AS28" s="541">
        <v>0</v>
      </c>
      <c r="AT28" s="543">
        <v>0</v>
      </c>
      <c r="AU28" s="541">
        <v>0</v>
      </c>
      <c r="AV28" s="541">
        <v>0</v>
      </c>
      <c r="AW28" s="541">
        <v>0</v>
      </c>
      <c r="AX28" s="541">
        <v>0</v>
      </c>
      <c r="AY28" s="541">
        <v>0</v>
      </c>
      <c r="AZ28" s="541">
        <v>0</v>
      </c>
      <c r="BA28" s="541">
        <v>0</v>
      </c>
      <c r="BB28" s="541">
        <v>0</v>
      </c>
      <c r="BC28" s="544">
        <v>28754.666666666668</v>
      </c>
      <c r="BD28" s="544">
        <v>28754.666666666668</v>
      </c>
      <c r="BE28" s="511"/>
      <c r="BF28" s="565">
        <v>25364</v>
      </c>
      <c r="BG28" s="565">
        <v>3390.666666666667</v>
      </c>
      <c r="BH28" s="565">
        <v>0</v>
      </c>
      <c r="BI28" s="565">
        <v>0</v>
      </c>
      <c r="BJ28" s="565">
        <v>28754.666666666668</v>
      </c>
      <c r="BK28" s="565">
        <v>0</v>
      </c>
      <c r="BL28" s="511"/>
      <c r="BM28" s="565">
        <v>0</v>
      </c>
      <c r="BN28" s="565">
        <v>0</v>
      </c>
    </row>
    <row r="29" spans="1:66" ht="13.2" x14ac:dyDescent="0.25">
      <c r="A29" s="515" t="s">
        <v>614</v>
      </c>
      <c r="B29" s="517">
        <v>1019</v>
      </c>
      <c r="C29" s="517" t="s">
        <v>152</v>
      </c>
      <c r="D29" s="517" t="s">
        <v>36</v>
      </c>
      <c r="E29" s="518" t="s">
        <v>641</v>
      </c>
      <c r="F29" s="540"/>
      <c r="G29" s="540"/>
      <c r="H29" s="540"/>
      <c r="I29" s="540">
        <v>1518.3333333333335</v>
      </c>
      <c r="J29" s="540">
        <v>0</v>
      </c>
      <c r="K29" s="540">
        <v>0</v>
      </c>
      <c r="L29" s="541">
        <v>0</v>
      </c>
      <c r="M29" s="541" t="s">
        <v>1476</v>
      </c>
      <c r="N29" s="541">
        <v>0</v>
      </c>
      <c r="O29" s="541">
        <v>0</v>
      </c>
      <c r="P29" s="541">
        <v>0</v>
      </c>
      <c r="Q29" s="541">
        <v>0</v>
      </c>
      <c r="R29" s="541">
        <v>0</v>
      </c>
      <c r="S29" s="542" t="s">
        <v>1476</v>
      </c>
      <c r="T29" s="541">
        <v>0</v>
      </c>
      <c r="U29" s="541">
        <v>0</v>
      </c>
      <c r="V29" s="541">
        <v>0</v>
      </c>
      <c r="W29" s="541" t="s">
        <v>1476</v>
      </c>
      <c r="X29" s="543" t="s">
        <v>1476</v>
      </c>
      <c r="Y29" s="541">
        <v>0</v>
      </c>
      <c r="Z29" s="541">
        <v>0</v>
      </c>
      <c r="AA29" s="541">
        <v>0</v>
      </c>
      <c r="AB29" s="541">
        <v>0</v>
      </c>
      <c r="AC29" s="541">
        <v>0</v>
      </c>
      <c r="AD29" s="541">
        <v>0</v>
      </c>
      <c r="AE29" s="541">
        <v>0</v>
      </c>
      <c r="AF29" s="541">
        <v>0</v>
      </c>
      <c r="AG29" s="541">
        <v>0</v>
      </c>
      <c r="AH29" s="541">
        <v>0</v>
      </c>
      <c r="AI29" s="541">
        <v>21125</v>
      </c>
      <c r="AJ29" s="541">
        <v>7476</v>
      </c>
      <c r="AK29" s="541">
        <v>0</v>
      </c>
      <c r="AL29" s="541">
        <v>0</v>
      </c>
      <c r="AM29" s="541">
        <v>0</v>
      </c>
      <c r="AN29" s="541">
        <v>0</v>
      </c>
      <c r="AO29" s="541">
        <v>0</v>
      </c>
      <c r="AP29" s="541">
        <v>0</v>
      </c>
      <c r="AQ29" s="541">
        <v>0</v>
      </c>
      <c r="AR29" s="541">
        <v>0</v>
      </c>
      <c r="AS29" s="541">
        <v>0</v>
      </c>
      <c r="AT29" s="543">
        <v>0</v>
      </c>
      <c r="AU29" s="541">
        <v>0</v>
      </c>
      <c r="AV29" s="541">
        <v>0</v>
      </c>
      <c r="AW29" s="541">
        <v>0</v>
      </c>
      <c r="AX29" s="541">
        <v>0</v>
      </c>
      <c r="AY29" s="541">
        <v>0</v>
      </c>
      <c r="AZ29" s="541">
        <v>0</v>
      </c>
      <c r="BA29" s="541">
        <v>0</v>
      </c>
      <c r="BB29" s="541">
        <v>0</v>
      </c>
      <c r="BC29" s="544">
        <v>30119.333333333332</v>
      </c>
      <c r="BD29" s="544">
        <v>30119.333333333332</v>
      </c>
      <c r="BE29" s="511"/>
      <c r="BF29" s="565">
        <v>28601</v>
      </c>
      <c r="BG29" s="565">
        <v>1518.3333333333335</v>
      </c>
      <c r="BH29" s="565">
        <v>0</v>
      </c>
      <c r="BI29" s="565">
        <v>0</v>
      </c>
      <c r="BJ29" s="565">
        <v>30119.333333333332</v>
      </c>
      <c r="BK29" s="565">
        <v>0</v>
      </c>
      <c r="BL29" s="511"/>
      <c r="BM29" s="565">
        <v>0</v>
      </c>
      <c r="BN29" s="565">
        <v>0</v>
      </c>
    </row>
    <row r="30" spans="1:66" ht="13.2" x14ac:dyDescent="0.25">
      <c r="A30" s="515" t="s">
        <v>618</v>
      </c>
      <c r="B30" s="517">
        <v>1020</v>
      </c>
      <c r="C30" s="517" t="s">
        <v>154</v>
      </c>
      <c r="D30" s="517" t="s">
        <v>36</v>
      </c>
      <c r="E30" s="518" t="s">
        <v>642</v>
      </c>
      <c r="F30" s="540"/>
      <c r="G30" s="540"/>
      <c r="H30" s="540"/>
      <c r="I30" s="540">
        <v>15143.416666666668</v>
      </c>
      <c r="J30" s="540">
        <v>7739.1666666666661</v>
      </c>
      <c r="K30" s="540">
        <v>0</v>
      </c>
      <c r="L30" s="541">
        <v>0</v>
      </c>
      <c r="M30" s="541" t="s">
        <v>1476</v>
      </c>
      <c r="N30" s="541">
        <v>0</v>
      </c>
      <c r="O30" s="541">
        <v>0</v>
      </c>
      <c r="P30" s="541">
        <v>0</v>
      </c>
      <c r="Q30" s="541">
        <v>0</v>
      </c>
      <c r="R30" s="541">
        <v>0</v>
      </c>
      <c r="S30" s="542" t="s">
        <v>1476</v>
      </c>
      <c r="T30" s="541">
        <v>0</v>
      </c>
      <c r="U30" s="541">
        <v>0</v>
      </c>
      <c r="V30" s="541">
        <v>0</v>
      </c>
      <c r="W30" s="541" t="s">
        <v>1476</v>
      </c>
      <c r="X30" s="543" t="s">
        <v>1476</v>
      </c>
      <c r="Y30" s="541">
        <v>0</v>
      </c>
      <c r="Z30" s="541">
        <v>0</v>
      </c>
      <c r="AA30" s="541">
        <v>0</v>
      </c>
      <c r="AB30" s="541">
        <v>0</v>
      </c>
      <c r="AC30" s="541">
        <v>0</v>
      </c>
      <c r="AD30" s="541">
        <v>0</v>
      </c>
      <c r="AE30" s="541">
        <v>0</v>
      </c>
      <c r="AF30" s="541">
        <v>0</v>
      </c>
      <c r="AG30" s="541">
        <v>0</v>
      </c>
      <c r="AH30" s="541">
        <v>0</v>
      </c>
      <c r="AI30" s="541">
        <v>24978</v>
      </c>
      <c r="AJ30" s="541">
        <v>8840</v>
      </c>
      <c r="AK30" s="541">
        <v>0</v>
      </c>
      <c r="AL30" s="541">
        <v>0</v>
      </c>
      <c r="AM30" s="541">
        <v>0</v>
      </c>
      <c r="AN30" s="541">
        <v>0</v>
      </c>
      <c r="AO30" s="541">
        <v>0</v>
      </c>
      <c r="AP30" s="541">
        <v>0</v>
      </c>
      <c r="AQ30" s="541">
        <v>0</v>
      </c>
      <c r="AR30" s="541">
        <v>0</v>
      </c>
      <c r="AS30" s="541">
        <v>0</v>
      </c>
      <c r="AT30" s="543">
        <v>0</v>
      </c>
      <c r="AU30" s="541">
        <v>0</v>
      </c>
      <c r="AV30" s="541">
        <v>0</v>
      </c>
      <c r="AW30" s="541">
        <v>0</v>
      </c>
      <c r="AX30" s="541">
        <v>0</v>
      </c>
      <c r="AY30" s="541">
        <v>0</v>
      </c>
      <c r="AZ30" s="541">
        <v>0</v>
      </c>
      <c r="BA30" s="541">
        <v>0</v>
      </c>
      <c r="BB30" s="541">
        <v>0</v>
      </c>
      <c r="BC30" s="544">
        <v>56700.583333333336</v>
      </c>
      <c r="BD30" s="544">
        <v>56700.583333333336</v>
      </c>
      <c r="BE30" s="511"/>
      <c r="BF30" s="565">
        <v>33818</v>
      </c>
      <c r="BG30" s="565">
        <v>22882.583333333336</v>
      </c>
      <c r="BH30" s="565">
        <v>0</v>
      </c>
      <c r="BI30" s="565">
        <v>0</v>
      </c>
      <c r="BJ30" s="565">
        <v>56700.583333333336</v>
      </c>
      <c r="BK30" s="565">
        <v>0</v>
      </c>
      <c r="BL30" s="511"/>
      <c r="BM30" s="565">
        <v>0</v>
      </c>
      <c r="BN30" s="565">
        <v>0</v>
      </c>
    </row>
    <row r="31" spans="1:66" ht="13.2" x14ac:dyDescent="0.25">
      <c r="A31" s="515" t="s">
        <v>618</v>
      </c>
      <c r="B31" s="517">
        <v>1014</v>
      </c>
      <c r="C31" s="517" t="s">
        <v>156</v>
      </c>
      <c r="D31" s="517" t="s">
        <v>36</v>
      </c>
      <c r="E31" s="518" t="s">
        <v>643</v>
      </c>
      <c r="F31" s="540"/>
      <c r="G31" s="540"/>
      <c r="H31" s="540"/>
      <c r="I31" s="540">
        <v>24508</v>
      </c>
      <c r="J31" s="540">
        <v>4000</v>
      </c>
      <c r="K31" s="540">
        <v>8175</v>
      </c>
      <c r="L31" s="541">
        <v>0</v>
      </c>
      <c r="M31" s="541" t="s">
        <v>1476</v>
      </c>
      <c r="N31" s="541">
        <v>0</v>
      </c>
      <c r="O31" s="541">
        <v>0</v>
      </c>
      <c r="P31" s="541">
        <v>0</v>
      </c>
      <c r="Q31" s="541">
        <v>0</v>
      </c>
      <c r="R31" s="541">
        <v>0</v>
      </c>
      <c r="S31" s="542" t="s">
        <v>1476</v>
      </c>
      <c r="T31" s="541">
        <v>0</v>
      </c>
      <c r="U31" s="541">
        <v>0</v>
      </c>
      <c r="V31" s="541">
        <v>0</v>
      </c>
      <c r="W31" s="541" t="s">
        <v>1476</v>
      </c>
      <c r="X31" s="543" t="s">
        <v>1476</v>
      </c>
      <c r="Y31" s="541">
        <v>0</v>
      </c>
      <c r="Z31" s="541">
        <v>0</v>
      </c>
      <c r="AA31" s="541">
        <v>0</v>
      </c>
      <c r="AB31" s="541">
        <v>0</v>
      </c>
      <c r="AC31" s="541">
        <v>0</v>
      </c>
      <c r="AD31" s="541">
        <v>0</v>
      </c>
      <c r="AE31" s="541">
        <v>0</v>
      </c>
      <c r="AF31" s="541">
        <v>0</v>
      </c>
      <c r="AG31" s="541">
        <v>0</v>
      </c>
      <c r="AH31" s="541">
        <v>0</v>
      </c>
      <c r="AI31" s="541">
        <v>16608</v>
      </c>
      <c r="AJ31" s="541">
        <v>5878</v>
      </c>
      <c r="AK31" s="541">
        <v>0</v>
      </c>
      <c r="AL31" s="541">
        <v>0</v>
      </c>
      <c r="AM31" s="541">
        <v>0</v>
      </c>
      <c r="AN31" s="541">
        <v>0</v>
      </c>
      <c r="AO31" s="541">
        <v>0</v>
      </c>
      <c r="AP31" s="541">
        <v>0</v>
      </c>
      <c r="AQ31" s="541">
        <v>0</v>
      </c>
      <c r="AR31" s="541">
        <v>0</v>
      </c>
      <c r="AS31" s="541">
        <v>0</v>
      </c>
      <c r="AT31" s="543">
        <v>0</v>
      </c>
      <c r="AU31" s="541">
        <v>0</v>
      </c>
      <c r="AV31" s="541">
        <v>0</v>
      </c>
      <c r="AW31" s="541">
        <v>0</v>
      </c>
      <c r="AX31" s="541">
        <v>0</v>
      </c>
      <c r="AY31" s="541">
        <v>0</v>
      </c>
      <c r="AZ31" s="541">
        <v>0</v>
      </c>
      <c r="BA31" s="541">
        <v>0</v>
      </c>
      <c r="BB31" s="541">
        <v>0</v>
      </c>
      <c r="BC31" s="544">
        <v>59169</v>
      </c>
      <c r="BD31" s="544">
        <v>59169</v>
      </c>
      <c r="BE31" s="511"/>
      <c r="BF31" s="565">
        <v>22486</v>
      </c>
      <c r="BG31" s="565">
        <v>36683</v>
      </c>
      <c r="BH31" s="565">
        <v>0</v>
      </c>
      <c r="BI31" s="565">
        <v>0</v>
      </c>
      <c r="BJ31" s="565">
        <v>59169</v>
      </c>
      <c r="BK31" s="565">
        <v>0</v>
      </c>
      <c r="BL31" s="511"/>
      <c r="BM31" s="565">
        <v>0</v>
      </c>
      <c r="BN31" s="565">
        <v>0</v>
      </c>
    </row>
    <row r="32" spans="1:66" ht="13.2" x14ac:dyDescent="0.25">
      <c r="A32" s="511"/>
      <c r="B32" s="511"/>
      <c r="C32" s="511"/>
      <c r="D32" s="517" t="s">
        <v>36</v>
      </c>
      <c r="E32" s="511"/>
      <c r="F32" s="546"/>
      <c r="G32" s="546"/>
      <c r="H32" s="546"/>
      <c r="I32" s="540"/>
      <c r="J32" s="540"/>
      <c r="K32" s="540"/>
      <c r="L32" s="541">
        <v>0</v>
      </c>
      <c r="M32" s="541" t="s">
        <v>1476</v>
      </c>
      <c r="N32" s="541"/>
      <c r="O32" s="541"/>
      <c r="P32" s="541"/>
      <c r="Q32" s="541"/>
      <c r="R32" s="541"/>
      <c r="S32" s="542"/>
      <c r="T32" s="541"/>
      <c r="U32" s="541"/>
      <c r="V32" s="541"/>
      <c r="W32" s="541" t="s">
        <v>1476</v>
      </c>
      <c r="X32" s="543" t="s">
        <v>1476</v>
      </c>
      <c r="Y32" s="541"/>
      <c r="Z32" s="541"/>
      <c r="AA32" s="541"/>
      <c r="AB32" s="541"/>
      <c r="AC32" s="541"/>
      <c r="AD32" s="541"/>
      <c r="AE32" s="541"/>
      <c r="AF32" s="541"/>
      <c r="AG32" s="541"/>
      <c r="AH32" s="541"/>
      <c r="AI32" s="541"/>
      <c r="AJ32" s="541">
        <v>0</v>
      </c>
      <c r="AK32" s="541"/>
      <c r="AL32" s="541"/>
      <c r="AM32" s="541"/>
      <c r="AN32" s="541"/>
      <c r="AO32" s="541"/>
      <c r="AP32" s="541"/>
      <c r="AQ32" s="541"/>
      <c r="AR32" s="541"/>
      <c r="AS32" s="541"/>
      <c r="AT32" s="543"/>
      <c r="AU32" s="541"/>
      <c r="AV32" s="541"/>
      <c r="AW32" s="541"/>
      <c r="AX32" s="541">
        <v>0</v>
      </c>
      <c r="AY32" s="541"/>
      <c r="AZ32" s="541"/>
      <c r="BA32" s="541"/>
      <c r="BB32" s="541"/>
      <c r="BC32" s="544">
        <v>0</v>
      </c>
      <c r="BD32" s="544">
        <v>0</v>
      </c>
      <c r="BE32" s="518"/>
      <c r="BF32" s="565">
        <v>0</v>
      </c>
      <c r="BG32" s="565">
        <v>0</v>
      </c>
      <c r="BH32" s="565">
        <v>0</v>
      </c>
      <c r="BI32" s="565">
        <v>0</v>
      </c>
      <c r="BJ32" s="565">
        <v>0</v>
      </c>
      <c r="BK32" s="565"/>
      <c r="BL32" s="564"/>
      <c r="BM32" s="565"/>
      <c r="BN32" s="565"/>
    </row>
    <row r="33" spans="1:66" s="403" customFormat="1" ht="13.2" x14ac:dyDescent="0.25">
      <c r="A33" s="547" t="s">
        <v>614</v>
      </c>
      <c r="B33" s="548">
        <v>3318</v>
      </c>
      <c r="C33" s="548" t="s">
        <v>160</v>
      </c>
      <c r="D33" s="548" t="s">
        <v>36</v>
      </c>
      <c r="E33" s="549" t="s">
        <v>644</v>
      </c>
      <c r="F33" s="550"/>
      <c r="G33" s="550"/>
      <c r="H33" s="550"/>
      <c r="I33" s="550">
        <v>0</v>
      </c>
      <c r="J33" s="550">
        <v>0</v>
      </c>
      <c r="K33" s="550">
        <v>0</v>
      </c>
      <c r="L33" s="541">
        <v>0</v>
      </c>
      <c r="M33" s="541" t="s">
        <v>1476</v>
      </c>
      <c r="N33" s="541">
        <v>0</v>
      </c>
      <c r="O33" s="541">
        <v>0</v>
      </c>
      <c r="P33" s="541">
        <v>0</v>
      </c>
      <c r="Q33" s="541">
        <v>0</v>
      </c>
      <c r="R33" s="541">
        <v>0</v>
      </c>
      <c r="S33" s="542">
        <v>0</v>
      </c>
      <c r="T33" s="541">
        <v>0</v>
      </c>
      <c r="U33" s="541">
        <v>0</v>
      </c>
      <c r="V33" s="541">
        <v>0</v>
      </c>
      <c r="W33" s="541" t="s">
        <v>1476</v>
      </c>
      <c r="X33" s="543" t="s">
        <v>1476</v>
      </c>
      <c r="Y33" s="541">
        <v>0</v>
      </c>
      <c r="Z33" s="541">
        <v>0</v>
      </c>
      <c r="AA33" s="541">
        <v>0</v>
      </c>
      <c r="AB33" s="541">
        <v>0</v>
      </c>
      <c r="AC33" s="541">
        <v>0</v>
      </c>
      <c r="AD33" s="541">
        <v>0</v>
      </c>
      <c r="AE33" s="541">
        <v>0</v>
      </c>
      <c r="AF33" s="541">
        <v>0</v>
      </c>
      <c r="AG33" s="541">
        <v>0</v>
      </c>
      <c r="AH33" s="541">
        <v>0</v>
      </c>
      <c r="AI33" s="541">
        <v>0</v>
      </c>
      <c r="AJ33" s="541">
        <v>0</v>
      </c>
      <c r="AK33" s="541">
        <v>0</v>
      </c>
      <c r="AL33" s="541">
        <v>0</v>
      </c>
      <c r="AM33" s="541">
        <v>0</v>
      </c>
      <c r="AN33" s="541">
        <v>0</v>
      </c>
      <c r="AO33" s="541">
        <v>0</v>
      </c>
      <c r="AP33" s="541">
        <v>0</v>
      </c>
      <c r="AQ33" s="541">
        <v>0</v>
      </c>
      <c r="AR33" s="541">
        <v>0</v>
      </c>
      <c r="AS33" s="541">
        <v>0</v>
      </c>
      <c r="AT33" s="543">
        <v>0</v>
      </c>
      <c r="AU33" s="541">
        <v>0</v>
      </c>
      <c r="AV33" s="541">
        <v>0</v>
      </c>
      <c r="AW33" s="541">
        <v>0</v>
      </c>
      <c r="AX33" s="541">
        <v>0</v>
      </c>
      <c r="AY33" s="541">
        <v>0</v>
      </c>
      <c r="AZ33" s="541">
        <v>0</v>
      </c>
      <c r="BA33" s="541">
        <v>0</v>
      </c>
      <c r="BB33" s="541">
        <v>0</v>
      </c>
      <c r="BC33" s="544">
        <v>0</v>
      </c>
      <c r="BD33" s="544">
        <v>0</v>
      </c>
      <c r="BE33" s="547"/>
      <c r="BF33" s="565">
        <v>0</v>
      </c>
      <c r="BG33" s="565">
        <v>0</v>
      </c>
      <c r="BH33" s="565">
        <v>0</v>
      </c>
      <c r="BI33" s="565">
        <v>0</v>
      </c>
      <c r="BJ33" s="565">
        <v>0</v>
      </c>
      <c r="BK33" s="512">
        <v>0</v>
      </c>
      <c r="BL33" s="514"/>
      <c r="BM33" s="512">
        <v>0</v>
      </c>
      <c r="BN33" s="512">
        <v>0</v>
      </c>
    </row>
    <row r="34" spans="1:66" ht="13.2" x14ac:dyDescent="0.25">
      <c r="A34" s="515" t="s">
        <v>616</v>
      </c>
      <c r="B34" s="517">
        <v>2010</v>
      </c>
      <c r="C34" s="517" t="s">
        <v>163</v>
      </c>
      <c r="D34" s="517" t="s">
        <v>107</v>
      </c>
      <c r="E34" s="518" t="s">
        <v>645</v>
      </c>
      <c r="F34" s="540"/>
      <c r="G34" s="540"/>
      <c r="H34" s="540"/>
      <c r="I34" s="540">
        <v>11846.667083333334</v>
      </c>
      <c r="J34" s="540">
        <v>10227.871666666666</v>
      </c>
      <c r="K34" s="540">
        <v>6962.5704166666656</v>
      </c>
      <c r="L34" s="541">
        <v>0</v>
      </c>
      <c r="M34" s="541" t="s">
        <v>1476</v>
      </c>
      <c r="N34" s="541">
        <v>0</v>
      </c>
      <c r="O34" s="541">
        <v>0</v>
      </c>
      <c r="P34" s="541">
        <v>0</v>
      </c>
      <c r="Q34" s="541">
        <v>0</v>
      </c>
      <c r="R34" s="541">
        <v>0</v>
      </c>
      <c r="S34" s="542" t="s">
        <v>1476</v>
      </c>
      <c r="T34" s="541">
        <v>85743.75</v>
      </c>
      <c r="U34" s="541">
        <v>85743.75</v>
      </c>
      <c r="V34" s="541">
        <v>86752.5</v>
      </c>
      <c r="W34" s="541">
        <v>88770</v>
      </c>
      <c r="X34" s="543" t="s">
        <v>1476</v>
      </c>
      <c r="Y34" s="541">
        <v>0</v>
      </c>
      <c r="Z34" s="541">
        <v>20731</v>
      </c>
      <c r="AA34" s="541">
        <v>0</v>
      </c>
      <c r="AB34" s="541">
        <v>0</v>
      </c>
      <c r="AC34" s="541">
        <v>0</v>
      </c>
      <c r="AD34" s="541">
        <v>0</v>
      </c>
      <c r="AE34" s="541">
        <v>0</v>
      </c>
      <c r="AF34" s="541">
        <v>0</v>
      </c>
      <c r="AG34" s="541">
        <v>0</v>
      </c>
      <c r="AH34" s="541">
        <v>42979</v>
      </c>
      <c r="AI34" s="541">
        <v>0</v>
      </c>
      <c r="AJ34" s="541">
        <v>0</v>
      </c>
      <c r="AK34" s="541">
        <v>0</v>
      </c>
      <c r="AL34" s="541">
        <v>0</v>
      </c>
      <c r="AM34" s="541">
        <v>0</v>
      </c>
      <c r="AN34" s="541">
        <v>0</v>
      </c>
      <c r="AO34" s="541">
        <v>0</v>
      </c>
      <c r="AP34" s="541">
        <v>0</v>
      </c>
      <c r="AQ34" s="541">
        <v>0</v>
      </c>
      <c r="AR34" s="541">
        <v>0</v>
      </c>
      <c r="AS34" s="541">
        <v>0</v>
      </c>
      <c r="AT34" s="543">
        <v>17350</v>
      </c>
      <c r="AU34" s="541">
        <v>0</v>
      </c>
      <c r="AV34" s="541">
        <v>8445.9375</v>
      </c>
      <c r="AW34" s="541">
        <v>0</v>
      </c>
      <c r="AX34" s="541">
        <v>18705</v>
      </c>
      <c r="AY34" s="541">
        <v>8682.1875</v>
      </c>
      <c r="AZ34" s="541">
        <v>0</v>
      </c>
      <c r="BA34" s="541">
        <v>0</v>
      </c>
      <c r="BB34" s="541">
        <v>0</v>
      </c>
      <c r="BC34" s="544">
        <v>492940.23416666663</v>
      </c>
      <c r="BD34" s="544">
        <v>492940.23416666663</v>
      </c>
      <c r="BE34" s="511"/>
      <c r="BF34" s="565">
        <v>463903.125</v>
      </c>
      <c r="BG34" s="565">
        <v>29037.109166666665</v>
      </c>
      <c r="BH34" s="565">
        <v>0</v>
      </c>
      <c r="BI34" s="565">
        <v>0</v>
      </c>
      <c r="BJ34" s="565">
        <v>492940.23416666669</v>
      </c>
      <c r="BK34" s="565">
        <v>0</v>
      </c>
      <c r="BL34" s="511"/>
      <c r="BM34" s="565">
        <v>347010</v>
      </c>
      <c r="BN34" s="565">
        <v>0</v>
      </c>
    </row>
    <row r="35" spans="1:66" ht="13.2" x14ac:dyDescent="0.25">
      <c r="A35" s="515" t="s">
        <v>618</v>
      </c>
      <c r="B35" s="517">
        <v>5949</v>
      </c>
      <c r="C35" s="517" t="s">
        <v>165</v>
      </c>
      <c r="D35" s="517" t="s">
        <v>36</v>
      </c>
      <c r="E35" s="518" t="s">
        <v>646</v>
      </c>
      <c r="F35" s="540"/>
      <c r="G35" s="540"/>
      <c r="H35" s="540"/>
      <c r="I35" s="540">
        <v>25443.334166666667</v>
      </c>
      <c r="J35" s="540">
        <v>10241.197666666667</v>
      </c>
      <c r="K35" s="540">
        <v>15724.7065</v>
      </c>
      <c r="L35" s="541">
        <v>0</v>
      </c>
      <c r="M35" s="541" t="s">
        <v>1476</v>
      </c>
      <c r="N35" s="541">
        <v>0</v>
      </c>
      <c r="O35" s="541">
        <v>0</v>
      </c>
      <c r="P35" s="541">
        <v>0</v>
      </c>
      <c r="Q35" s="541">
        <v>0</v>
      </c>
      <c r="R35" s="541">
        <v>0</v>
      </c>
      <c r="S35" s="542" t="s">
        <v>1476</v>
      </c>
      <c r="T35" s="541">
        <v>60861.25</v>
      </c>
      <c r="U35" s="541">
        <v>60861.25</v>
      </c>
      <c r="V35" s="541">
        <v>60861.25</v>
      </c>
      <c r="W35" s="541">
        <v>60861.25</v>
      </c>
      <c r="X35" s="543" t="s">
        <v>1476</v>
      </c>
      <c r="Y35" s="541">
        <v>0</v>
      </c>
      <c r="Z35" s="541">
        <v>21389</v>
      </c>
      <c r="AA35" s="541">
        <v>0</v>
      </c>
      <c r="AB35" s="541">
        <v>0</v>
      </c>
      <c r="AC35" s="541">
        <v>0</v>
      </c>
      <c r="AD35" s="541">
        <v>0</v>
      </c>
      <c r="AE35" s="541">
        <v>0</v>
      </c>
      <c r="AF35" s="541">
        <v>0</v>
      </c>
      <c r="AG35" s="541">
        <v>0</v>
      </c>
      <c r="AH35" s="541">
        <v>89235</v>
      </c>
      <c r="AI35" s="541">
        <v>0</v>
      </c>
      <c r="AJ35" s="541">
        <v>0</v>
      </c>
      <c r="AK35" s="541">
        <v>0</v>
      </c>
      <c r="AL35" s="541">
        <v>0</v>
      </c>
      <c r="AM35" s="541">
        <v>0</v>
      </c>
      <c r="AN35" s="541">
        <v>0</v>
      </c>
      <c r="AO35" s="541">
        <v>0</v>
      </c>
      <c r="AP35" s="541">
        <v>465.5</v>
      </c>
      <c r="AQ35" s="541">
        <v>0</v>
      </c>
      <c r="AR35" s="541">
        <v>0</v>
      </c>
      <c r="AS35" s="541">
        <v>0</v>
      </c>
      <c r="AT35" s="543">
        <v>20800</v>
      </c>
      <c r="AU35" s="541">
        <v>0</v>
      </c>
      <c r="AV35" s="541">
        <v>5788.125</v>
      </c>
      <c r="AW35" s="541">
        <v>0</v>
      </c>
      <c r="AX35" s="541">
        <v>13122.5</v>
      </c>
      <c r="AY35" s="541">
        <v>5788.125</v>
      </c>
      <c r="AZ35" s="541">
        <v>0</v>
      </c>
      <c r="BA35" s="541">
        <v>0</v>
      </c>
      <c r="BB35" s="541">
        <v>0</v>
      </c>
      <c r="BC35" s="544">
        <v>451442.48833333334</v>
      </c>
      <c r="BD35" s="544">
        <v>451442.48833333334</v>
      </c>
      <c r="BE35" s="511"/>
      <c r="BF35" s="565">
        <v>400033.25</v>
      </c>
      <c r="BG35" s="565">
        <v>51409.238333333335</v>
      </c>
      <c r="BH35" s="565">
        <v>0</v>
      </c>
      <c r="BI35" s="565">
        <v>0</v>
      </c>
      <c r="BJ35" s="565">
        <v>451442.48833333334</v>
      </c>
      <c r="BK35" s="565">
        <v>0</v>
      </c>
      <c r="BL35" s="511"/>
      <c r="BM35" s="565">
        <v>243445</v>
      </c>
      <c r="BN35" s="565">
        <v>0</v>
      </c>
    </row>
    <row r="36" spans="1:66" ht="13.2" x14ac:dyDescent="0.25">
      <c r="A36" s="515" t="s">
        <v>614</v>
      </c>
      <c r="B36" s="517">
        <v>2153</v>
      </c>
      <c r="C36" s="517" t="s">
        <v>167</v>
      </c>
      <c r="D36" s="517" t="s">
        <v>36</v>
      </c>
      <c r="E36" s="518" t="s">
        <v>647</v>
      </c>
      <c r="F36" s="540"/>
      <c r="G36" s="540"/>
      <c r="H36" s="540"/>
      <c r="I36" s="540">
        <v>11430.416666666668</v>
      </c>
      <c r="J36" s="540">
        <v>20096.707333333332</v>
      </c>
      <c r="K36" s="540">
        <v>24274.389666666666</v>
      </c>
      <c r="L36" s="541">
        <v>55547.666666666672</v>
      </c>
      <c r="M36" s="541" t="s">
        <v>1476</v>
      </c>
      <c r="N36" s="541">
        <v>0</v>
      </c>
      <c r="O36" s="541">
        <v>0</v>
      </c>
      <c r="P36" s="541">
        <v>0</v>
      </c>
      <c r="Q36" s="541">
        <v>60609.750015233396</v>
      </c>
      <c r="R36" s="541">
        <v>48487.800012186715</v>
      </c>
      <c r="S36" s="542">
        <v>16897.38</v>
      </c>
      <c r="T36" s="541">
        <v>75302.5</v>
      </c>
      <c r="U36" s="541">
        <v>75302.5</v>
      </c>
      <c r="V36" s="541">
        <v>75302.5</v>
      </c>
      <c r="W36" s="541">
        <v>75302.5</v>
      </c>
      <c r="X36" s="543" t="s">
        <v>1476</v>
      </c>
      <c r="Y36" s="541">
        <v>0</v>
      </c>
      <c r="Z36" s="541">
        <v>19097</v>
      </c>
      <c r="AA36" s="541">
        <v>0</v>
      </c>
      <c r="AB36" s="541">
        <v>0</v>
      </c>
      <c r="AC36" s="541">
        <v>0</v>
      </c>
      <c r="AD36" s="541">
        <v>0</v>
      </c>
      <c r="AE36" s="541">
        <v>0</v>
      </c>
      <c r="AF36" s="541">
        <v>0</v>
      </c>
      <c r="AG36" s="541">
        <v>0</v>
      </c>
      <c r="AH36" s="541">
        <v>34735</v>
      </c>
      <c r="AI36" s="541">
        <v>0</v>
      </c>
      <c r="AJ36" s="541">
        <v>0</v>
      </c>
      <c r="AK36" s="541">
        <v>0</v>
      </c>
      <c r="AL36" s="541">
        <v>0</v>
      </c>
      <c r="AM36" s="541">
        <v>0</v>
      </c>
      <c r="AN36" s="541">
        <v>0</v>
      </c>
      <c r="AO36" s="541">
        <v>0</v>
      </c>
      <c r="AP36" s="541">
        <v>4800</v>
      </c>
      <c r="AQ36" s="541">
        <v>0</v>
      </c>
      <c r="AR36" s="541">
        <v>0</v>
      </c>
      <c r="AS36" s="541">
        <v>0</v>
      </c>
      <c r="AT36" s="543">
        <v>13460</v>
      </c>
      <c r="AU36" s="541">
        <v>0</v>
      </c>
      <c r="AV36" s="541">
        <v>6733.125</v>
      </c>
      <c r="AW36" s="541">
        <v>0</v>
      </c>
      <c r="AX36" s="541">
        <v>15805</v>
      </c>
      <c r="AY36" s="541">
        <v>6733.125</v>
      </c>
      <c r="AZ36" s="541">
        <v>0</v>
      </c>
      <c r="BA36" s="541">
        <v>0</v>
      </c>
      <c r="BB36" s="541">
        <v>0</v>
      </c>
      <c r="BC36" s="544">
        <v>639917.36036075349</v>
      </c>
      <c r="BD36" s="544">
        <v>639917.36036075349</v>
      </c>
      <c r="BE36" s="511"/>
      <c r="BF36" s="565">
        <v>402573.25</v>
      </c>
      <c r="BG36" s="565">
        <v>237344.11036075346</v>
      </c>
      <c r="BH36" s="565">
        <v>0</v>
      </c>
      <c r="BI36" s="565">
        <v>0</v>
      </c>
      <c r="BJ36" s="565">
        <v>639917.36036075349</v>
      </c>
      <c r="BK36" s="565">
        <v>0</v>
      </c>
      <c r="BL36" s="511"/>
      <c r="BM36" s="565">
        <v>301210</v>
      </c>
      <c r="BN36" s="565">
        <v>125994.93002742011</v>
      </c>
    </row>
    <row r="37" spans="1:66" ht="13.2" x14ac:dyDescent="0.25">
      <c r="A37" s="515" t="s">
        <v>616</v>
      </c>
      <c r="B37" s="517">
        <v>2062</v>
      </c>
      <c r="C37" s="517" t="s">
        <v>169</v>
      </c>
      <c r="D37" s="517" t="s">
        <v>36</v>
      </c>
      <c r="E37" s="518" t="s">
        <v>648</v>
      </c>
      <c r="F37" s="540"/>
      <c r="G37" s="540"/>
      <c r="H37" s="540"/>
      <c r="I37" s="540">
        <v>5099.1412499999997</v>
      </c>
      <c r="J37" s="540">
        <v>2730.3130000000001</v>
      </c>
      <c r="K37" s="540">
        <v>8047.7355000000007</v>
      </c>
      <c r="L37" s="541">
        <v>0</v>
      </c>
      <c r="M37" s="541" t="s">
        <v>1476</v>
      </c>
      <c r="N37" s="541">
        <v>0</v>
      </c>
      <c r="O37" s="541">
        <v>0</v>
      </c>
      <c r="P37" s="541">
        <v>0</v>
      </c>
      <c r="Q37" s="541">
        <v>0</v>
      </c>
      <c r="R37" s="541">
        <v>0</v>
      </c>
      <c r="S37" s="542" t="s">
        <v>1476</v>
      </c>
      <c r="T37" s="541">
        <v>69603.75</v>
      </c>
      <c r="U37" s="541">
        <v>69603.75</v>
      </c>
      <c r="V37" s="541">
        <v>69603.75</v>
      </c>
      <c r="W37" s="541">
        <v>69603.75</v>
      </c>
      <c r="X37" s="543" t="s">
        <v>1476</v>
      </c>
      <c r="Y37" s="541">
        <v>0</v>
      </c>
      <c r="Z37" s="541">
        <v>20236</v>
      </c>
      <c r="AA37" s="541">
        <v>0</v>
      </c>
      <c r="AB37" s="541">
        <v>0</v>
      </c>
      <c r="AC37" s="541">
        <v>0</v>
      </c>
      <c r="AD37" s="541">
        <v>0</v>
      </c>
      <c r="AE37" s="541">
        <v>0</v>
      </c>
      <c r="AF37" s="541">
        <v>0</v>
      </c>
      <c r="AG37" s="541">
        <v>0</v>
      </c>
      <c r="AH37" s="541">
        <v>30178</v>
      </c>
      <c r="AI37" s="541">
        <v>4783</v>
      </c>
      <c r="AJ37" s="541">
        <v>1692</v>
      </c>
      <c r="AK37" s="541">
        <v>0</v>
      </c>
      <c r="AL37" s="541">
        <v>0</v>
      </c>
      <c r="AM37" s="541">
        <v>0</v>
      </c>
      <c r="AN37" s="541">
        <v>0</v>
      </c>
      <c r="AO37" s="541">
        <v>0</v>
      </c>
      <c r="AP37" s="541">
        <v>689.5</v>
      </c>
      <c r="AQ37" s="541">
        <v>0</v>
      </c>
      <c r="AR37" s="541">
        <v>0</v>
      </c>
      <c r="AS37" s="541">
        <v>0</v>
      </c>
      <c r="AT37" s="543">
        <v>15260</v>
      </c>
      <c r="AU37" s="541">
        <v>0</v>
      </c>
      <c r="AV37" s="541">
        <v>6615</v>
      </c>
      <c r="AW37" s="541">
        <v>0</v>
      </c>
      <c r="AX37" s="541">
        <v>15007.5</v>
      </c>
      <c r="AY37" s="541">
        <v>6615</v>
      </c>
      <c r="AZ37" s="541">
        <v>0</v>
      </c>
      <c r="BA37" s="541">
        <v>0</v>
      </c>
      <c r="BB37" s="541">
        <v>0</v>
      </c>
      <c r="BC37" s="544">
        <v>395368.18975000002</v>
      </c>
      <c r="BD37" s="544">
        <v>395368.18975000002</v>
      </c>
      <c r="BE37" s="511"/>
      <c r="BF37" s="565">
        <v>379491</v>
      </c>
      <c r="BG37" s="565">
        <v>15877.189750000001</v>
      </c>
      <c r="BH37" s="565">
        <v>0</v>
      </c>
      <c r="BI37" s="565">
        <v>0</v>
      </c>
      <c r="BJ37" s="565">
        <v>395368.18975000002</v>
      </c>
      <c r="BK37" s="565">
        <v>0</v>
      </c>
      <c r="BL37" s="511"/>
      <c r="BM37" s="565">
        <v>278415</v>
      </c>
      <c r="BN37" s="565">
        <v>0</v>
      </c>
    </row>
    <row r="38" spans="1:66" ht="13.2" x14ac:dyDescent="0.25">
      <c r="A38" s="515" t="s">
        <v>614</v>
      </c>
      <c r="B38" s="517">
        <v>2479</v>
      </c>
      <c r="C38" s="517" t="s">
        <v>171</v>
      </c>
      <c r="D38" s="517" t="s">
        <v>36</v>
      </c>
      <c r="E38" s="518" t="s">
        <v>649</v>
      </c>
      <c r="F38" s="540"/>
      <c r="G38" s="540"/>
      <c r="H38" s="540"/>
      <c r="I38" s="540">
        <v>0</v>
      </c>
      <c r="J38" s="540">
        <v>11472.735377374007</v>
      </c>
      <c r="K38" s="540">
        <v>6592.4340392926588</v>
      </c>
      <c r="L38" s="541">
        <v>0</v>
      </c>
      <c r="M38" s="541" t="s">
        <v>1476</v>
      </c>
      <c r="N38" s="541">
        <v>0</v>
      </c>
      <c r="O38" s="541">
        <v>0</v>
      </c>
      <c r="P38" s="541">
        <v>0</v>
      </c>
      <c r="Q38" s="541">
        <v>19660.096362445911</v>
      </c>
      <c r="R38" s="541">
        <v>15728.077089956729</v>
      </c>
      <c r="S38" s="542">
        <v>31784.62</v>
      </c>
      <c r="T38" s="541">
        <v>97848.75</v>
      </c>
      <c r="U38" s="541">
        <v>97848.75</v>
      </c>
      <c r="V38" s="541">
        <v>97512.5</v>
      </c>
      <c r="W38" s="541">
        <v>96840</v>
      </c>
      <c r="X38" s="543" t="s">
        <v>1476</v>
      </c>
      <c r="Y38" s="541">
        <v>0</v>
      </c>
      <c r="Z38" s="541">
        <v>21778</v>
      </c>
      <c r="AA38" s="541">
        <v>0</v>
      </c>
      <c r="AB38" s="541">
        <v>0</v>
      </c>
      <c r="AC38" s="541">
        <v>0</v>
      </c>
      <c r="AD38" s="541">
        <v>0</v>
      </c>
      <c r="AE38" s="541">
        <v>0</v>
      </c>
      <c r="AF38" s="541">
        <v>0</v>
      </c>
      <c r="AG38" s="541">
        <v>0</v>
      </c>
      <c r="AH38" s="541">
        <v>57168</v>
      </c>
      <c r="AI38" s="541">
        <v>10629</v>
      </c>
      <c r="AJ38" s="541">
        <v>3761</v>
      </c>
      <c r="AK38" s="541">
        <v>0</v>
      </c>
      <c r="AL38" s="541">
        <v>0</v>
      </c>
      <c r="AM38" s="541">
        <v>0</v>
      </c>
      <c r="AN38" s="541">
        <v>0</v>
      </c>
      <c r="AO38" s="541">
        <v>0</v>
      </c>
      <c r="AP38" s="541">
        <v>0</v>
      </c>
      <c r="AQ38" s="541">
        <v>0</v>
      </c>
      <c r="AR38" s="541">
        <v>0</v>
      </c>
      <c r="AS38" s="541">
        <v>0</v>
      </c>
      <c r="AT38" s="543">
        <v>22900</v>
      </c>
      <c r="AU38" s="541">
        <v>0</v>
      </c>
      <c r="AV38" s="541">
        <v>9226.875</v>
      </c>
      <c r="AW38" s="541">
        <v>0</v>
      </c>
      <c r="AX38" s="541">
        <v>21340</v>
      </c>
      <c r="AY38" s="541">
        <v>9108.75</v>
      </c>
      <c r="AZ38" s="541">
        <v>0</v>
      </c>
      <c r="BA38" s="541">
        <v>0</v>
      </c>
      <c r="BB38" s="541">
        <v>0</v>
      </c>
      <c r="BC38" s="544">
        <v>631199.58786906931</v>
      </c>
      <c r="BD38" s="544">
        <v>631199.58786906931</v>
      </c>
      <c r="BE38" s="511"/>
      <c r="BF38" s="565">
        <v>545961.625</v>
      </c>
      <c r="BG38" s="565">
        <v>85237.962869069306</v>
      </c>
      <c r="BH38" s="565">
        <v>0</v>
      </c>
      <c r="BI38" s="565">
        <v>0</v>
      </c>
      <c r="BJ38" s="565">
        <v>631199.58786906931</v>
      </c>
      <c r="BK38" s="565">
        <v>0</v>
      </c>
      <c r="BL38" s="511"/>
      <c r="BM38" s="565">
        <v>390050</v>
      </c>
      <c r="BN38" s="565">
        <v>67172.793452402635</v>
      </c>
    </row>
    <row r="39" spans="1:66" ht="13.2" x14ac:dyDescent="0.25">
      <c r="A39" s="515" t="s">
        <v>614</v>
      </c>
      <c r="B39" s="517">
        <v>2300</v>
      </c>
      <c r="C39" s="517" t="s">
        <v>173</v>
      </c>
      <c r="D39" s="517" t="s">
        <v>36</v>
      </c>
      <c r="E39" s="518" t="s">
        <v>650</v>
      </c>
      <c r="F39" s="540"/>
      <c r="G39" s="540"/>
      <c r="H39" s="540"/>
      <c r="I39" s="540">
        <v>32659.671691704698</v>
      </c>
      <c r="J39" s="540">
        <v>26067.989000000005</v>
      </c>
      <c r="K39" s="540">
        <v>68488.429999999993</v>
      </c>
      <c r="L39" s="541">
        <v>24009</v>
      </c>
      <c r="M39" s="541" t="s">
        <v>1476</v>
      </c>
      <c r="N39" s="541">
        <v>0</v>
      </c>
      <c r="O39" s="541">
        <v>0</v>
      </c>
      <c r="P39" s="541">
        <v>0</v>
      </c>
      <c r="Q39" s="541">
        <v>0</v>
      </c>
      <c r="R39" s="541">
        <v>0</v>
      </c>
      <c r="S39" s="542" t="s">
        <v>1476</v>
      </c>
      <c r="T39" s="541">
        <v>83053.75</v>
      </c>
      <c r="U39" s="541">
        <v>83053.75</v>
      </c>
      <c r="V39" s="541">
        <v>83053.75</v>
      </c>
      <c r="W39" s="541">
        <v>83053.75</v>
      </c>
      <c r="X39" s="543" t="s">
        <v>1476</v>
      </c>
      <c r="Y39" s="541">
        <v>0</v>
      </c>
      <c r="Z39" s="541">
        <v>21389</v>
      </c>
      <c r="AA39" s="541">
        <v>0</v>
      </c>
      <c r="AB39" s="541">
        <v>0</v>
      </c>
      <c r="AC39" s="541">
        <v>0</v>
      </c>
      <c r="AD39" s="541">
        <v>0</v>
      </c>
      <c r="AE39" s="541">
        <v>0</v>
      </c>
      <c r="AF39" s="541">
        <v>0</v>
      </c>
      <c r="AG39" s="541">
        <v>0</v>
      </c>
      <c r="AH39" s="541">
        <v>70284</v>
      </c>
      <c r="AI39" s="541">
        <v>8902</v>
      </c>
      <c r="AJ39" s="541">
        <v>3151</v>
      </c>
      <c r="AK39" s="541">
        <v>0</v>
      </c>
      <c r="AL39" s="541">
        <v>0</v>
      </c>
      <c r="AM39" s="541">
        <v>0</v>
      </c>
      <c r="AN39" s="541">
        <v>0</v>
      </c>
      <c r="AO39" s="541">
        <v>0</v>
      </c>
      <c r="AP39" s="541">
        <v>0</v>
      </c>
      <c r="AQ39" s="541">
        <v>0</v>
      </c>
      <c r="AR39" s="541">
        <v>0</v>
      </c>
      <c r="AS39" s="541">
        <v>0</v>
      </c>
      <c r="AT39" s="543">
        <v>21000</v>
      </c>
      <c r="AU39" s="541">
        <v>0</v>
      </c>
      <c r="AV39" s="541">
        <v>7678.1250000000009</v>
      </c>
      <c r="AW39" s="541">
        <v>0</v>
      </c>
      <c r="AX39" s="541">
        <v>17907.5</v>
      </c>
      <c r="AY39" s="541">
        <v>7678.1250000000009</v>
      </c>
      <c r="AZ39" s="541">
        <v>0</v>
      </c>
      <c r="BA39" s="541">
        <v>0</v>
      </c>
      <c r="BB39" s="541">
        <v>0</v>
      </c>
      <c r="BC39" s="544">
        <v>641429.84069170477</v>
      </c>
      <c r="BD39" s="544">
        <v>641429.84069170477</v>
      </c>
      <c r="BE39" s="511"/>
      <c r="BF39" s="565">
        <v>490204.75</v>
      </c>
      <c r="BG39" s="565">
        <v>151225.09069170471</v>
      </c>
      <c r="BH39" s="565">
        <v>0</v>
      </c>
      <c r="BI39" s="565">
        <v>0</v>
      </c>
      <c r="BJ39" s="565">
        <v>641429.84069170477</v>
      </c>
      <c r="BK39" s="565">
        <v>0</v>
      </c>
      <c r="BL39" s="511"/>
      <c r="BM39" s="565">
        <v>332215</v>
      </c>
      <c r="BN39" s="565">
        <v>0</v>
      </c>
    </row>
    <row r="40" spans="1:66" ht="13.2" x14ac:dyDescent="0.25">
      <c r="A40" s="515" t="s">
        <v>618</v>
      </c>
      <c r="B40" s="517">
        <v>2014</v>
      </c>
      <c r="C40" s="517" t="s">
        <v>175</v>
      </c>
      <c r="D40" s="517" t="s">
        <v>36</v>
      </c>
      <c r="E40" s="518" t="s">
        <v>651</v>
      </c>
      <c r="F40" s="540"/>
      <c r="G40" s="540"/>
      <c r="H40" s="540"/>
      <c r="I40" s="540">
        <v>0</v>
      </c>
      <c r="J40" s="540">
        <v>0</v>
      </c>
      <c r="K40" s="540">
        <v>4000</v>
      </c>
      <c r="L40" s="541">
        <v>0</v>
      </c>
      <c r="M40" s="541" t="s">
        <v>1476</v>
      </c>
      <c r="N40" s="541">
        <v>0</v>
      </c>
      <c r="O40" s="541">
        <v>0</v>
      </c>
      <c r="P40" s="541">
        <v>0</v>
      </c>
      <c r="Q40" s="541">
        <v>0</v>
      </c>
      <c r="R40" s="541">
        <v>0</v>
      </c>
      <c r="S40" s="542" t="s">
        <v>1476</v>
      </c>
      <c r="T40" s="541">
        <v>50437.5</v>
      </c>
      <c r="U40" s="541">
        <v>50437.5</v>
      </c>
      <c r="V40" s="541">
        <v>50437.5</v>
      </c>
      <c r="W40" s="541">
        <v>50437.5</v>
      </c>
      <c r="X40" s="543" t="s">
        <v>1476</v>
      </c>
      <c r="Y40" s="541">
        <v>0</v>
      </c>
      <c r="Z40" s="541">
        <v>19370</v>
      </c>
      <c r="AA40" s="541">
        <v>0</v>
      </c>
      <c r="AB40" s="541">
        <v>0</v>
      </c>
      <c r="AC40" s="541">
        <v>0</v>
      </c>
      <c r="AD40" s="541">
        <v>0</v>
      </c>
      <c r="AE40" s="541">
        <v>0</v>
      </c>
      <c r="AF40" s="541">
        <v>0</v>
      </c>
      <c r="AG40" s="541">
        <v>0</v>
      </c>
      <c r="AH40" s="541">
        <v>50945</v>
      </c>
      <c r="AI40" s="541">
        <v>5049</v>
      </c>
      <c r="AJ40" s="541">
        <v>1786</v>
      </c>
      <c r="AK40" s="541">
        <v>0</v>
      </c>
      <c r="AL40" s="541">
        <v>0</v>
      </c>
      <c r="AM40" s="541">
        <v>0</v>
      </c>
      <c r="AN40" s="541">
        <v>0</v>
      </c>
      <c r="AO40" s="541">
        <v>0</v>
      </c>
      <c r="AP40" s="541">
        <v>0</v>
      </c>
      <c r="AQ40" s="541">
        <v>0</v>
      </c>
      <c r="AR40" s="541">
        <v>0</v>
      </c>
      <c r="AS40" s="541">
        <v>2947.7</v>
      </c>
      <c r="AT40" s="543">
        <v>12660</v>
      </c>
      <c r="AU40" s="541">
        <v>0</v>
      </c>
      <c r="AV40" s="541">
        <v>5020.3125</v>
      </c>
      <c r="AW40" s="541">
        <v>0</v>
      </c>
      <c r="AX40" s="541">
        <v>10875</v>
      </c>
      <c r="AY40" s="541">
        <v>5020.3125</v>
      </c>
      <c r="AZ40" s="541">
        <v>0</v>
      </c>
      <c r="BA40" s="541">
        <v>0</v>
      </c>
      <c r="BB40" s="541">
        <v>0</v>
      </c>
      <c r="BC40" s="544">
        <v>319423.32500000001</v>
      </c>
      <c r="BD40" s="544">
        <v>319423.32500000001</v>
      </c>
      <c r="BE40" s="511"/>
      <c r="BF40" s="565">
        <v>315423.32500000001</v>
      </c>
      <c r="BG40" s="565">
        <v>4000</v>
      </c>
      <c r="BH40" s="565">
        <v>0</v>
      </c>
      <c r="BI40" s="565">
        <v>0</v>
      </c>
      <c r="BJ40" s="565">
        <v>319423.32500000001</v>
      </c>
      <c r="BK40" s="565">
        <v>0</v>
      </c>
      <c r="BL40" s="511"/>
      <c r="BM40" s="565">
        <v>201750</v>
      </c>
      <c r="BN40" s="565">
        <v>0</v>
      </c>
    </row>
    <row r="41" spans="1:66" ht="13.2" x14ac:dyDescent="0.25">
      <c r="A41" s="515" t="s">
        <v>614</v>
      </c>
      <c r="B41" s="517">
        <v>2239</v>
      </c>
      <c r="C41" s="517" t="s">
        <v>177</v>
      </c>
      <c r="D41" s="517" t="s">
        <v>36</v>
      </c>
      <c r="E41" s="518" t="s">
        <v>652</v>
      </c>
      <c r="F41" s="540"/>
      <c r="G41" s="540"/>
      <c r="H41" s="540"/>
      <c r="I41" s="540">
        <v>2726.25</v>
      </c>
      <c r="J41" s="540">
        <v>0</v>
      </c>
      <c r="K41" s="540">
        <v>8025</v>
      </c>
      <c r="L41" s="541">
        <v>0</v>
      </c>
      <c r="M41" s="541" t="s">
        <v>1476</v>
      </c>
      <c r="N41" s="541">
        <v>0</v>
      </c>
      <c r="O41" s="541">
        <v>0</v>
      </c>
      <c r="P41" s="541">
        <v>0</v>
      </c>
      <c r="Q41" s="541">
        <v>0</v>
      </c>
      <c r="R41" s="541">
        <v>0</v>
      </c>
      <c r="S41" s="542" t="s">
        <v>1476</v>
      </c>
      <c r="T41" s="541">
        <v>26641.25</v>
      </c>
      <c r="U41" s="541">
        <v>26641.25</v>
      </c>
      <c r="V41" s="541">
        <v>25968.75</v>
      </c>
      <c r="W41" s="541">
        <v>24623.75</v>
      </c>
      <c r="X41" s="543" t="s">
        <v>1476</v>
      </c>
      <c r="Y41" s="541">
        <v>0</v>
      </c>
      <c r="Z41" s="541">
        <v>17178</v>
      </c>
      <c r="AA41" s="541">
        <v>0</v>
      </c>
      <c r="AB41" s="541">
        <v>0</v>
      </c>
      <c r="AC41" s="541">
        <v>0</v>
      </c>
      <c r="AD41" s="541">
        <v>0</v>
      </c>
      <c r="AE41" s="541">
        <v>0</v>
      </c>
      <c r="AF41" s="541">
        <v>0</v>
      </c>
      <c r="AG41" s="541">
        <v>0</v>
      </c>
      <c r="AH41" s="541">
        <v>38978</v>
      </c>
      <c r="AI41" s="541">
        <v>2525</v>
      </c>
      <c r="AJ41" s="541">
        <v>893</v>
      </c>
      <c r="AK41" s="541">
        <v>0</v>
      </c>
      <c r="AL41" s="541">
        <v>0</v>
      </c>
      <c r="AM41" s="541">
        <v>0</v>
      </c>
      <c r="AN41" s="541">
        <v>0</v>
      </c>
      <c r="AO41" s="541">
        <v>0</v>
      </c>
      <c r="AP41" s="541">
        <v>0</v>
      </c>
      <c r="AQ41" s="541">
        <v>0</v>
      </c>
      <c r="AR41" s="541">
        <v>1200</v>
      </c>
      <c r="AS41" s="541">
        <v>1180.33</v>
      </c>
      <c r="AT41" s="543">
        <v>5900</v>
      </c>
      <c r="AU41" s="541">
        <v>0</v>
      </c>
      <c r="AV41" s="541">
        <v>1830.9375000000002</v>
      </c>
      <c r="AW41" s="541">
        <v>0</v>
      </c>
      <c r="AX41" s="541">
        <v>5582.5</v>
      </c>
      <c r="AY41" s="541">
        <v>1830.9375000000002</v>
      </c>
      <c r="AZ41" s="541">
        <v>0</v>
      </c>
      <c r="BA41" s="541">
        <v>0</v>
      </c>
      <c r="BB41" s="541">
        <v>0</v>
      </c>
      <c r="BC41" s="544">
        <v>191724.95499999999</v>
      </c>
      <c r="BD41" s="544">
        <v>191724.95499999999</v>
      </c>
      <c r="BE41" s="511"/>
      <c r="BF41" s="565">
        <v>180973.70500000002</v>
      </c>
      <c r="BG41" s="565">
        <v>10751.25</v>
      </c>
      <c r="BH41" s="565">
        <v>0</v>
      </c>
      <c r="BI41" s="565">
        <v>0</v>
      </c>
      <c r="BJ41" s="565">
        <v>191724.95500000002</v>
      </c>
      <c r="BK41" s="565">
        <v>0</v>
      </c>
      <c r="BL41" s="511"/>
      <c r="BM41" s="565">
        <v>103875</v>
      </c>
      <c r="BN41" s="565">
        <v>0</v>
      </c>
    </row>
    <row r="42" spans="1:66" ht="13.2" x14ac:dyDescent="0.25">
      <c r="A42" s="515" t="s">
        <v>618</v>
      </c>
      <c r="B42" s="517">
        <v>2241</v>
      </c>
      <c r="C42" s="517" t="s">
        <v>179</v>
      </c>
      <c r="D42" s="517" t="s">
        <v>36</v>
      </c>
      <c r="E42" s="518" t="s">
        <v>653</v>
      </c>
      <c r="F42" s="540"/>
      <c r="G42" s="540"/>
      <c r="H42" s="540"/>
      <c r="I42" s="540">
        <v>9112.590416666666</v>
      </c>
      <c r="J42" s="540">
        <v>3942.039666666667</v>
      </c>
      <c r="K42" s="540">
        <v>4818.7517500000004</v>
      </c>
      <c r="L42" s="541">
        <v>0</v>
      </c>
      <c r="M42" s="541" t="s">
        <v>1476</v>
      </c>
      <c r="N42" s="541">
        <v>0</v>
      </c>
      <c r="O42" s="541">
        <v>0</v>
      </c>
      <c r="P42" s="541">
        <v>0</v>
      </c>
      <c r="Q42" s="541">
        <v>0</v>
      </c>
      <c r="R42" s="541">
        <v>0</v>
      </c>
      <c r="S42" s="542" t="s">
        <v>1476</v>
      </c>
      <c r="T42" s="541">
        <v>58326.25</v>
      </c>
      <c r="U42" s="541">
        <v>58326.25</v>
      </c>
      <c r="V42" s="541">
        <v>57990</v>
      </c>
      <c r="W42" s="541">
        <v>57317.5</v>
      </c>
      <c r="X42" s="543" t="s">
        <v>1476</v>
      </c>
      <c r="Y42" s="541">
        <v>0</v>
      </c>
      <c r="Z42" s="541">
        <v>19127</v>
      </c>
      <c r="AA42" s="541">
        <v>0</v>
      </c>
      <c r="AB42" s="541">
        <v>0</v>
      </c>
      <c r="AC42" s="541">
        <v>0</v>
      </c>
      <c r="AD42" s="541">
        <v>0</v>
      </c>
      <c r="AE42" s="541">
        <v>0</v>
      </c>
      <c r="AF42" s="541">
        <v>0</v>
      </c>
      <c r="AG42" s="541">
        <v>0</v>
      </c>
      <c r="AH42" s="541">
        <v>0</v>
      </c>
      <c r="AI42" s="541">
        <v>0</v>
      </c>
      <c r="AJ42" s="541">
        <v>0</v>
      </c>
      <c r="AK42" s="541">
        <v>0</v>
      </c>
      <c r="AL42" s="541">
        <v>0</v>
      </c>
      <c r="AM42" s="541">
        <v>0</v>
      </c>
      <c r="AN42" s="541">
        <v>0</v>
      </c>
      <c r="AO42" s="541">
        <v>0</v>
      </c>
      <c r="AP42" s="541">
        <v>0</v>
      </c>
      <c r="AQ42" s="541">
        <v>0</v>
      </c>
      <c r="AR42" s="541">
        <v>0</v>
      </c>
      <c r="AS42" s="541">
        <v>0</v>
      </c>
      <c r="AT42" s="543">
        <v>10330</v>
      </c>
      <c r="AU42" s="541">
        <v>0</v>
      </c>
      <c r="AV42" s="541">
        <v>6142.5</v>
      </c>
      <c r="AW42" s="541">
        <v>0</v>
      </c>
      <c r="AX42" s="541">
        <v>12470</v>
      </c>
      <c r="AY42" s="541">
        <v>6024.375</v>
      </c>
      <c r="AZ42" s="541">
        <v>0</v>
      </c>
      <c r="BA42" s="541">
        <v>0</v>
      </c>
      <c r="BB42" s="541">
        <v>0</v>
      </c>
      <c r="BC42" s="544">
        <v>303927.25683333335</v>
      </c>
      <c r="BD42" s="544">
        <v>303927.25683333335</v>
      </c>
      <c r="BE42" s="511"/>
      <c r="BF42" s="565">
        <v>286053.875</v>
      </c>
      <c r="BG42" s="565">
        <v>17873.381833333333</v>
      </c>
      <c r="BH42" s="565">
        <v>0</v>
      </c>
      <c r="BI42" s="565">
        <v>0</v>
      </c>
      <c r="BJ42" s="565">
        <v>303927.25683333335</v>
      </c>
      <c r="BK42" s="565">
        <v>0</v>
      </c>
      <c r="BL42" s="511"/>
      <c r="BM42" s="565">
        <v>231960</v>
      </c>
      <c r="BN42" s="565">
        <v>0</v>
      </c>
    </row>
    <row r="43" spans="1:66" ht="13.2" x14ac:dyDescent="0.25">
      <c r="A43" s="515" t="s">
        <v>618</v>
      </c>
      <c r="B43" s="517">
        <v>2456</v>
      </c>
      <c r="C43" s="517" t="s">
        <v>181</v>
      </c>
      <c r="D43" s="517" t="s">
        <v>36</v>
      </c>
      <c r="E43" s="518" t="s">
        <v>654</v>
      </c>
      <c r="F43" s="540"/>
      <c r="G43" s="540"/>
      <c r="H43" s="540"/>
      <c r="I43" s="540">
        <v>2924.5833333333335</v>
      </c>
      <c r="J43" s="540">
        <v>942.66666666666663</v>
      </c>
      <c r="K43" s="540">
        <v>748.67</v>
      </c>
      <c r="L43" s="541">
        <v>0</v>
      </c>
      <c r="M43" s="541" t="s">
        <v>1476</v>
      </c>
      <c r="N43" s="541">
        <v>0</v>
      </c>
      <c r="O43" s="541">
        <v>0</v>
      </c>
      <c r="P43" s="541">
        <v>0</v>
      </c>
      <c r="Q43" s="541">
        <v>0</v>
      </c>
      <c r="R43" s="541">
        <v>0</v>
      </c>
      <c r="S43" s="542" t="s">
        <v>1476</v>
      </c>
      <c r="T43" s="541">
        <v>33788.75</v>
      </c>
      <c r="U43" s="541">
        <v>33788.75</v>
      </c>
      <c r="V43" s="541">
        <v>33788.75</v>
      </c>
      <c r="W43" s="541">
        <v>33788.75</v>
      </c>
      <c r="X43" s="543" t="s">
        <v>1476</v>
      </c>
      <c r="Y43" s="541">
        <v>0</v>
      </c>
      <c r="Z43" s="541">
        <v>17714</v>
      </c>
      <c r="AA43" s="541">
        <v>0</v>
      </c>
      <c r="AB43" s="541">
        <v>0</v>
      </c>
      <c r="AC43" s="541">
        <v>0</v>
      </c>
      <c r="AD43" s="541">
        <v>0</v>
      </c>
      <c r="AE43" s="541">
        <v>0</v>
      </c>
      <c r="AF43" s="541">
        <v>0</v>
      </c>
      <c r="AG43" s="541">
        <v>0</v>
      </c>
      <c r="AH43" s="541">
        <v>21786</v>
      </c>
      <c r="AI43" s="541">
        <v>0</v>
      </c>
      <c r="AJ43" s="541">
        <v>0</v>
      </c>
      <c r="AK43" s="541">
        <v>0</v>
      </c>
      <c r="AL43" s="541">
        <v>0</v>
      </c>
      <c r="AM43" s="541">
        <v>0</v>
      </c>
      <c r="AN43" s="541">
        <v>0</v>
      </c>
      <c r="AO43" s="541">
        <v>0</v>
      </c>
      <c r="AP43" s="541">
        <v>0</v>
      </c>
      <c r="AQ43" s="541">
        <v>0</v>
      </c>
      <c r="AR43" s="541">
        <v>0</v>
      </c>
      <c r="AS43" s="541">
        <v>0</v>
      </c>
      <c r="AT43" s="543">
        <v>6730</v>
      </c>
      <c r="AU43" s="541">
        <v>0</v>
      </c>
      <c r="AV43" s="541">
        <v>3130.3125</v>
      </c>
      <c r="AW43" s="541">
        <v>0</v>
      </c>
      <c r="AX43" s="541">
        <v>7177.5</v>
      </c>
      <c r="AY43" s="541">
        <v>3130.3125</v>
      </c>
      <c r="AZ43" s="541">
        <v>0</v>
      </c>
      <c r="BA43" s="541">
        <v>0</v>
      </c>
      <c r="BB43" s="541">
        <v>0</v>
      </c>
      <c r="BC43" s="544">
        <v>199439.04499999998</v>
      </c>
      <c r="BD43" s="544">
        <v>199439.04499999998</v>
      </c>
      <c r="BE43" s="511"/>
      <c r="BF43" s="565">
        <v>194823.125</v>
      </c>
      <c r="BG43" s="565">
        <v>4615.92</v>
      </c>
      <c r="BH43" s="565">
        <v>0</v>
      </c>
      <c r="BI43" s="565">
        <v>0</v>
      </c>
      <c r="BJ43" s="565">
        <v>199439.04500000001</v>
      </c>
      <c r="BK43" s="565">
        <v>0</v>
      </c>
      <c r="BL43" s="511"/>
      <c r="BM43" s="565">
        <v>135155</v>
      </c>
      <c r="BN43" s="565">
        <v>0</v>
      </c>
    </row>
    <row r="44" spans="1:66" ht="13.2" x14ac:dyDescent="0.25">
      <c r="A44" s="515" t="s">
        <v>614</v>
      </c>
      <c r="B44" s="517">
        <v>2435</v>
      </c>
      <c r="C44" s="517" t="s">
        <v>183</v>
      </c>
      <c r="D44" s="517" t="s">
        <v>36</v>
      </c>
      <c r="E44" s="518" t="s">
        <v>655</v>
      </c>
      <c r="F44" s="540"/>
      <c r="G44" s="540"/>
      <c r="H44" s="540"/>
      <c r="I44" s="540">
        <v>24693.223333333335</v>
      </c>
      <c r="J44" s="540">
        <v>20474.445333333333</v>
      </c>
      <c r="K44" s="540">
        <v>17855.8315</v>
      </c>
      <c r="L44" s="541">
        <v>0</v>
      </c>
      <c r="M44" s="541" t="s">
        <v>1476</v>
      </c>
      <c r="N44" s="541">
        <v>0</v>
      </c>
      <c r="O44" s="541">
        <v>0</v>
      </c>
      <c r="P44" s="541">
        <v>0</v>
      </c>
      <c r="Q44" s="541">
        <v>0</v>
      </c>
      <c r="R44" s="541">
        <v>0</v>
      </c>
      <c r="S44" s="542" t="s">
        <v>1476</v>
      </c>
      <c r="T44" s="541">
        <v>86416.25</v>
      </c>
      <c r="U44" s="541">
        <v>86416.25</v>
      </c>
      <c r="V44" s="541">
        <v>87088.75</v>
      </c>
      <c r="W44" s="541">
        <v>88433.75</v>
      </c>
      <c r="X44" s="543" t="s">
        <v>1476</v>
      </c>
      <c r="Y44" s="541">
        <v>0</v>
      </c>
      <c r="Z44" s="541">
        <v>19780</v>
      </c>
      <c r="AA44" s="541">
        <v>0</v>
      </c>
      <c r="AB44" s="541">
        <v>0</v>
      </c>
      <c r="AC44" s="541">
        <v>0</v>
      </c>
      <c r="AD44" s="541">
        <v>0</v>
      </c>
      <c r="AE44" s="541">
        <v>0</v>
      </c>
      <c r="AF44" s="541">
        <v>0</v>
      </c>
      <c r="AG44" s="541">
        <v>0</v>
      </c>
      <c r="AH44" s="541">
        <v>26955</v>
      </c>
      <c r="AI44" s="541">
        <v>3322</v>
      </c>
      <c r="AJ44" s="541">
        <v>1176</v>
      </c>
      <c r="AK44" s="541">
        <v>0</v>
      </c>
      <c r="AL44" s="541">
        <v>0</v>
      </c>
      <c r="AM44" s="541">
        <v>0</v>
      </c>
      <c r="AN44" s="541">
        <v>0</v>
      </c>
      <c r="AO44" s="541">
        <v>0</v>
      </c>
      <c r="AP44" s="541">
        <v>668.5</v>
      </c>
      <c r="AQ44" s="541">
        <v>0</v>
      </c>
      <c r="AR44" s="541">
        <v>0</v>
      </c>
      <c r="AS44" s="541">
        <v>0</v>
      </c>
      <c r="AT44" s="543">
        <v>13860</v>
      </c>
      <c r="AU44" s="541">
        <v>0</v>
      </c>
      <c r="AV44" s="541">
        <v>8386.875</v>
      </c>
      <c r="AW44" s="541">
        <v>0</v>
      </c>
      <c r="AX44" s="541">
        <v>18777.5</v>
      </c>
      <c r="AY44" s="541">
        <v>8505</v>
      </c>
      <c r="AZ44" s="541">
        <v>0</v>
      </c>
      <c r="BA44" s="541">
        <v>0</v>
      </c>
      <c r="BB44" s="541">
        <v>0</v>
      </c>
      <c r="BC44" s="544">
        <v>512809.37516666669</v>
      </c>
      <c r="BD44" s="544">
        <v>512809.37516666669</v>
      </c>
      <c r="BE44" s="511"/>
      <c r="BF44" s="565">
        <v>449785.875</v>
      </c>
      <c r="BG44" s="565">
        <v>63023.500166666665</v>
      </c>
      <c r="BH44" s="565">
        <v>0</v>
      </c>
      <c r="BI44" s="565">
        <v>0</v>
      </c>
      <c r="BJ44" s="565">
        <v>512809.37516666669</v>
      </c>
      <c r="BK44" s="565">
        <v>0</v>
      </c>
      <c r="BL44" s="511"/>
      <c r="BM44" s="565">
        <v>348355</v>
      </c>
      <c r="BN44" s="565">
        <v>0</v>
      </c>
    </row>
    <row r="45" spans="1:66" ht="13.2" x14ac:dyDescent="0.25">
      <c r="A45" s="515" t="s">
        <v>618</v>
      </c>
      <c r="B45" s="517">
        <v>2025</v>
      </c>
      <c r="C45" s="517" t="s">
        <v>185</v>
      </c>
      <c r="D45" s="517" t="s">
        <v>36</v>
      </c>
      <c r="E45" s="518" t="s">
        <v>656</v>
      </c>
      <c r="F45" s="540"/>
      <c r="G45" s="540"/>
      <c r="H45" s="540"/>
      <c r="I45" s="540">
        <v>0</v>
      </c>
      <c r="J45" s="540">
        <v>9000</v>
      </c>
      <c r="K45" s="540">
        <v>16100</v>
      </c>
      <c r="L45" s="541">
        <v>0</v>
      </c>
      <c r="M45" s="541" t="s">
        <v>1476</v>
      </c>
      <c r="N45" s="541">
        <v>0</v>
      </c>
      <c r="O45" s="541">
        <v>0</v>
      </c>
      <c r="P45" s="541">
        <v>0</v>
      </c>
      <c r="Q45" s="541">
        <v>0</v>
      </c>
      <c r="R45" s="541">
        <v>0</v>
      </c>
      <c r="S45" s="542" t="s">
        <v>1476</v>
      </c>
      <c r="T45" s="541">
        <v>25046.25</v>
      </c>
      <c r="U45" s="541">
        <v>25046.25</v>
      </c>
      <c r="V45" s="541">
        <v>25046.25</v>
      </c>
      <c r="W45" s="541">
        <v>25046.25</v>
      </c>
      <c r="X45" s="543" t="s">
        <v>1476</v>
      </c>
      <c r="Y45" s="541">
        <v>0</v>
      </c>
      <c r="Z45" s="541">
        <v>17131</v>
      </c>
      <c r="AA45" s="541">
        <v>0</v>
      </c>
      <c r="AB45" s="541">
        <v>0</v>
      </c>
      <c r="AC45" s="541">
        <v>0</v>
      </c>
      <c r="AD45" s="541">
        <v>0</v>
      </c>
      <c r="AE45" s="541">
        <v>0</v>
      </c>
      <c r="AF45" s="541">
        <v>0</v>
      </c>
      <c r="AG45" s="541">
        <v>0</v>
      </c>
      <c r="AH45" s="541">
        <v>34142</v>
      </c>
      <c r="AI45" s="541">
        <v>3986</v>
      </c>
      <c r="AJ45" s="541">
        <v>1411</v>
      </c>
      <c r="AK45" s="541">
        <v>0</v>
      </c>
      <c r="AL45" s="541">
        <v>0</v>
      </c>
      <c r="AM45" s="541">
        <v>0</v>
      </c>
      <c r="AN45" s="541">
        <v>0</v>
      </c>
      <c r="AO45" s="541">
        <v>0</v>
      </c>
      <c r="AP45" s="541">
        <v>0</v>
      </c>
      <c r="AQ45" s="541">
        <v>0</v>
      </c>
      <c r="AR45" s="541">
        <v>1200</v>
      </c>
      <c r="AS45" s="541">
        <v>0</v>
      </c>
      <c r="AT45" s="543">
        <v>5360</v>
      </c>
      <c r="AU45" s="541">
        <v>0</v>
      </c>
      <c r="AV45" s="541">
        <v>1949.0625000000002</v>
      </c>
      <c r="AW45" s="541">
        <v>0</v>
      </c>
      <c r="AX45" s="541">
        <v>5292.5</v>
      </c>
      <c r="AY45" s="541">
        <v>1949.0625000000002</v>
      </c>
      <c r="AZ45" s="541">
        <v>0</v>
      </c>
      <c r="BA45" s="541">
        <v>0</v>
      </c>
      <c r="BB45" s="541">
        <v>0</v>
      </c>
      <c r="BC45" s="544">
        <v>197705.625</v>
      </c>
      <c r="BD45" s="544">
        <v>197705.625</v>
      </c>
      <c r="BE45" s="511"/>
      <c r="BF45" s="565">
        <v>172605.625</v>
      </c>
      <c r="BG45" s="565">
        <v>25100</v>
      </c>
      <c r="BH45" s="565">
        <v>0</v>
      </c>
      <c r="BI45" s="565">
        <v>0</v>
      </c>
      <c r="BJ45" s="565">
        <v>197705.625</v>
      </c>
      <c r="BK45" s="565">
        <v>0</v>
      </c>
      <c r="BL45" s="511"/>
      <c r="BM45" s="565">
        <v>100185</v>
      </c>
      <c r="BN45" s="565">
        <v>0</v>
      </c>
    </row>
    <row r="46" spans="1:66" ht="13.2" x14ac:dyDescent="0.25">
      <c r="A46" s="515" t="s">
        <v>618</v>
      </c>
      <c r="B46" s="517">
        <v>2024</v>
      </c>
      <c r="C46" s="517" t="s">
        <v>187</v>
      </c>
      <c r="D46" s="517" t="s">
        <v>36</v>
      </c>
      <c r="E46" s="518" t="s">
        <v>657</v>
      </c>
      <c r="F46" s="540"/>
      <c r="G46" s="540"/>
      <c r="H46" s="540"/>
      <c r="I46" s="540">
        <v>251.65916666666664</v>
      </c>
      <c r="J46" s="540">
        <v>201.32733333333331</v>
      </c>
      <c r="K46" s="540">
        <v>7650.9955</v>
      </c>
      <c r="L46" s="541">
        <v>0</v>
      </c>
      <c r="M46" s="541" t="s">
        <v>1476</v>
      </c>
      <c r="N46" s="541">
        <v>0</v>
      </c>
      <c r="O46" s="541">
        <v>0</v>
      </c>
      <c r="P46" s="541">
        <v>0</v>
      </c>
      <c r="Q46" s="541">
        <v>0</v>
      </c>
      <c r="R46" s="541">
        <v>0</v>
      </c>
      <c r="S46" s="542" t="s">
        <v>1476</v>
      </c>
      <c r="T46" s="541">
        <v>44203.75</v>
      </c>
      <c r="U46" s="541">
        <v>44203.75</v>
      </c>
      <c r="V46" s="541">
        <v>44203.75</v>
      </c>
      <c r="W46" s="541">
        <v>44203.75</v>
      </c>
      <c r="X46" s="543" t="s">
        <v>1476</v>
      </c>
      <c r="Y46" s="541">
        <v>0</v>
      </c>
      <c r="Z46" s="541">
        <v>18205</v>
      </c>
      <c r="AA46" s="541">
        <v>0</v>
      </c>
      <c r="AB46" s="541">
        <v>0</v>
      </c>
      <c r="AC46" s="541">
        <v>0</v>
      </c>
      <c r="AD46" s="541">
        <v>0</v>
      </c>
      <c r="AE46" s="541">
        <v>0</v>
      </c>
      <c r="AF46" s="541">
        <v>0</v>
      </c>
      <c r="AG46" s="541">
        <v>0</v>
      </c>
      <c r="AH46" s="541">
        <v>0</v>
      </c>
      <c r="AI46" s="541">
        <v>0</v>
      </c>
      <c r="AJ46" s="541">
        <v>0</v>
      </c>
      <c r="AK46" s="541">
        <v>0</v>
      </c>
      <c r="AL46" s="541">
        <v>0</v>
      </c>
      <c r="AM46" s="541">
        <v>0</v>
      </c>
      <c r="AN46" s="541">
        <v>0</v>
      </c>
      <c r="AO46" s="541">
        <v>0</v>
      </c>
      <c r="AP46" s="541">
        <v>0</v>
      </c>
      <c r="AQ46" s="541">
        <v>0</v>
      </c>
      <c r="AR46" s="541">
        <v>0</v>
      </c>
      <c r="AS46" s="541">
        <v>0</v>
      </c>
      <c r="AT46" s="543">
        <v>7330</v>
      </c>
      <c r="AU46" s="541">
        <v>0</v>
      </c>
      <c r="AV46" s="541">
        <v>4488.75</v>
      </c>
      <c r="AW46" s="541">
        <v>0</v>
      </c>
      <c r="AX46" s="541">
        <v>9207.5</v>
      </c>
      <c r="AY46" s="541">
        <v>4488.75</v>
      </c>
      <c r="AZ46" s="541">
        <v>0</v>
      </c>
      <c r="BA46" s="541">
        <v>0</v>
      </c>
      <c r="BB46" s="541">
        <v>0</v>
      </c>
      <c r="BC46" s="544">
        <v>228638.98200000002</v>
      </c>
      <c r="BD46" s="544">
        <v>228638.98200000002</v>
      </c>
      <c r="BE46" s="511"/>
      <c r="BF46" s="565">
        <v>220535</v>
      </c>
      <c r="BG46" s="565">
        <v>8103.982</v>
      </c>
      <c r="BH46" s="565">
        <v>0</v>
      </c>
      <c r="BI46" s="565">
        <v>0</v>
      </c>
      <c r="BJ46" s="565">
        <v>228638.98199999999</v>
      </c>
      <c r="BK46" s="565">
        <v>0</v>
      </c>
      <c r="BL46" s="511"/>
      <c r="BM46" s="565">
        <v>176815</v>
      </c>
      <c r="BN46" s="565">
        <v>0</v>
      </c>
    </row>
    <row r="47" spans="1:66" ht="13.2" x14ac:dyDescent="0.25">
      <c r="A47" s="515" t="s">
        <v>616</v>
      </c>
      <c r="B47" s="517">
        <v>2254</v>
      </c>
      <c r="C47" s="517" t="s">
        <v>189</v>
      </c>
      <c r="D47" s="517" t="s">
        <v>107</v>
      </c>
      <c r="E47" s="518" t="s">
        <v>658</v>
      </c>
      <c r="F47" s="540"/>
      <c r="G47" s="540"/>
      <c r="H47" s="540"/>
      <c r="I47" s="540">
        <v>20392.763750000002</v>
      </c>
      <c r="J47" s="540">
        <v>9653.1976666666669</v>
      </c>
      <c r="K47" s="540">
        <v>33156.898249999998</v>
      </c>
      <c r="L47" s="541">
        <v>9500</v>
      </c>
      <c r="M47" s="541" t="s">
        <v>1476</v>
      </c>
      <c r="N47" s="541">
        <v>0</v>
      </c>
      <c r="O47" s="541">
        <v>0</v>
      </c>
      <c r="P47" s="541">
        <v>0</v>
      </c>
      <c r="Q47" s="541">
        <v>0</v>
      </c>
      <c r="R47" s="541">
        <v>0</v>
      </c>
      <c r="S47" s="542" t="s">
        <v>1476</v>
      </c>
      <c r="T47" s="541">
        <v>78682.5</v>
      </c>
      <c r="U47" s="541">
        <v>78682.5</v>
      </c>
      <c r="V47" s="541">
        <v>78682.5</v>
      </c>
      <c r="W47" s="541">
        <v>78682.5</v>
      </c>
      <c r="X47" s="543" t="s">
        <v>1476</v>
      </c>
      <c r="Y47" s="541">
        <v>0</v>
      </c>
      <c r="Z47" s="541">
        <v>21042</v>
      </c>
      <c r="AA47" s="541">
        <v>0</v>
      </c>
      <c r="AB47" s="541">
        <v>0</v>
      </c>
      <c r="AC47" s="541">
        <v>0</v>
      </c>
      <c r="AD47" s="541">
        <v>0</v>
      </c>
      <c r="AE47" s="541">
        <v>0</v>
      </c>
      <c r="AF47" s="541">
        <v>0</v>
      </c>
      <c r="AG47" s="541">
        <v>0</v>
      </c>
      <c r="AH47" s="541">
        <v>65301</v>
      </c>
      <c r="AI47" s="541">
        <v>0</v>
      </c>
      <c r="AJ47" s="541">
        <v>0</v>
      </c>
      <c r="AK47" s="541">
        <v>0</v>
      </c>
      <c r="AL47" s="541">
        <v>0</v>
      </c>
      <c r="AM47" s="541">
        <v>0</v>
      </c>
      <c r="AN47" s="541">
        <v>0</v>
      </c>
      <c r="AO47" s="541">
        <v>0</v>
      </c>
      <c r="AP47" s="541">
        <v>0</v>
      </c>
      <c r="AQ47" s="541">
        <v>0</v>
      </c>
      <c r="AR47" s="541">
        <v>1200</v>
      </c>
      <c r="AS47" s="541">
        <v>0</v>
      </c>
      <c r="AT47" s="543">
        <v>19300</v>
      </c>
      <c r="AU47" s="541">
        <v>0</v>
      </c>
      <c r="AV47" s="541">
        <v>7619.0625000000009</v>
      </c>
      <c r="AW47" s="541">
        <v>0</v>
      </c>
      <c r="AX47" s="541">
        <v>16965</v>
      </c>
      <c r="AY47" s="541">
        <v>7619.0625000000009</v>
      </c>
      <c r="AZ47" s="541">
        <v>0</v>
      </c>
      <c r="BA47" s="541">
        <v>0</v>
      </c>
      <c r="BB47" s="541">
        <v>0</v>
      </c>
      <c r="BC47" s="544">
        <v>526478.98466666671</v>
      </c>
      <c r="BD47" s="544">
        <v>526478.98466666671</v>
      </c>
      <c r="BE47" s="511"/>
      <c r="BF47" s="565">
        <v>453776.125</v>
      </c>
      <c r="BG47" s="565">
        <v>72702.859666666671</v>
      </c>
      <c r="BH47" s="565">
        <v>0</v>
      </c>
      <c r="BI47" s="565">
        <v>0</v>
      </c>
      <c r="BJ47" s="565">
        <v>526478.98466666671</v>
      </c>
      <c r="BK47" s="565">
        <v>0</v>
      </c>
      <c r="BL47" s="511"/>
      <c r="BM47" s="565">
        <v>314730</v>
      </c>
      <c r="BN47" s="565">
        <v>0</v>
      </c>
    </row>
    <row r="48" spans="1:66" ht="13.2" x14ac:dyDescent="0.25">
      <c r="A48" s="515" t="s">
        <v>616</v>
      </c>
      <c r="B48" s="517">
        <v>2402</v>
      </c>
      <c r="C48" s="517" t="s">
        <v>191</v>
      </c>
      <c r="D48" s="517" t="s">
        <v>107</v>
      </c>
      <c r="E48" s="518" t="s">
        <v>659</v>
      </c>
      <c r="F48" s="540"/>
      <c r="G48" s="540"/>
      <c r="H48" s="540"/>
      <c r="I48" s="540">
        <v>0</v>
      </c>
      <c r="J48" s="540">
        <v>2119.3333333333335</v>
      </c>
      <c r="K48" s="540">
        <v>14910</v>
      </c>
      <c r="L48" s="541">
        <v>0</v>
      </c>
      <c r="M48" s="541" t="s">
        <v>1476</v>
      </c>
      <c r="N48" s="541">
        <v>0</v>
      </c>
      <c r="O48" s="541">
        <v>0</v>
      </c>
      <c r="P48" s="541">
        <v>0</v>
      </c>
      <c r="Q48" s="541">
        <v>49328.723749999997</v>
      </c>
      <c r="R48" s="541">
        <v>39462.978999999999</v>
      </c>
      <c r="S48" s="542">
        <v>44825.58</v>
      </c>
      <c r="T48" s="541">
        <v>14268.75</v>
      </c>
      <c r="U48" s="541">
        <v>14268.75</v>
      </c>
      <c r="V48" s="541">
        <v>14268.75</v>
      </c>
      <c r="W48" s="541">
        <v>14268.75</v>
      </c>
      <c r="X48" s="543" t="s">
        <v>1476</v>
      </c>
      <c r="Y48" s="541">
        <v>0</v>
      </c>
      <c r="Z48" s="541">
        <v>17808</v>
      </c>
      <c r="AA48" s="541">
        <v>0</v>
      </c>
      <c r="AB48" s="541">
        <v>0</v>
      </c>
      <c r="AC48" s="541">
        <v>0</v>
      </c>
      <c r="AD48" s="541">
        <v>0</v>
      </c>
      <c r="AE48" s="541">
        <v>0</v>
      </c>
      <c r="AF48" s="541">
        <v>0</v>
      </c>
      <c r="AG48" s="541">
        <v>0</v>
      </c>
      <c r="AH48" s="541">
        <v>102870</v>
      </c>
      <c r="AI48" s="541">
        <v>6511</v>
      </c>
      <c r="AJ48" s="541">
        <v>2304</v>
      </c>
      <c r="AK48" s="541">
        <v>0</v>
      </c>
      <c r="AL48" s="541">
        <v>0</v>
      </c>
      <c r="AM48" s="541">
        <v>0</v>
      </c>
      <c r="AN48" s="541">
        <v>0</v>
      </c>
      <c r="AO48" s="541">
        <v>0</v>
      </c>
      <c r="AP48" s="541">
        <v>0</v>
      </c>
      <c r="AQ48" s="541">
        <v>0</v>
      </c>
      <c r="AR48" s="541">
        <v>0</v>
      </c>
      <c r="AS48" s="541">
        <v>0</v>
      </c>
      <c r="AT48" s="543">
        <v>10060</v>
      </c>
      <c r="AU48" s="541">
        <v>0</v>
      </c>
      <c r="AV48" s="541">
        <v>1004.0625000000001</v>
      </c>
      <c r="AW48" s="541">
        <v>0</v>
      </c>
      <c r="AX48" s="541">
        <v>2827.5</v>
      </c>
      <c r="AY48" s="541">
        <v>1004.0625000000001</v>
      </c>
      <c r="AZ48" s="541">
        <v>0</v>
      </c>
      <c r="BA48" s="541">
        <v>0</v>
      </c>
      <c r="BB48" s="541">
        <v>0</v>
      </c>
      <c r="BC48" s="544">
        <v>352110.24108333333</v>
      </c>
      <c r="BD48" s="544">
        <v>352110.24108333333</v>
      </c>
      <c r="BE48" s="511"/>
      <c r="BF48" s="565">
        <v>201463.625</v>
      </c>
      <c r="BG48" s="565">
        <v>150646.61608333333</v>
      </c>
      <c r="BH48" s="565">
        <v>0</v>
      </c>
      <c r="BI48" s="565">
        <v>0</v>
      </c>
      <c r="BJ48" s="565">
        <v>352110.24108333333</v>
      </c>
      <c r="BK48" s="565">
        <v>0</v>
      </c>
      <c r="BL48" s="511"/>
      <c r="BM48" s="565">
        <v>57075</v>
      </c>
      <c r="BN48" s="565">
        <v>133617.28275000001</v>
      </c>
    </row>
    <row r="49" spans="1:66" ht="13.2" x14ac:dyDescent="0.25">
      <c r="A49" s="515" t="s">
        <v>616</v>
      </c>
      <c r="B49" s="517">
        <v>2401</v>
      </c>
      <c r="C49" s="517" t="s">
        <v>193</v>
      </c>
      <c r="D49" s="517" t="s">
        <v>107</v>
      </c>
      <c r="E49" s="518" t="s">
        <v>660</v>
      </c>
      <c r="F49" s="540"/>
      <c r="G49" s="540"/>
      <c r="H49" s="540"/>
      <c r="I49" s="540">
        <v>4415.3700000000008</v>
      </c>
      <c r="J49" s="540">
        <v>2727.2960000000003</v>
      </c>
      <c r="K49" s="540">
        <v>2564.2219999999998</v>
      </c>
      <c r="L49" s="541">
        <v>9072.6666666666661</v>
      </c>
      <c r="M49" s="541" t="s">
        <v>1476</v>
      </c>
      <c r="N49" s="541">
        <v>0</v>
      </c>
      <c r="O49" s="541">
        <v>0</v>
      </c>
      <c r="P49" s="541">
        <v>0</v>
      </c>
      <c r="Q49" s="541">
        <v>0</v>
      </c>
      <c r="R49" s="541">
        <v>0</v>
      </c>
      <c r="S49" s="542" t="s">
        <v>1476</v>
      </c>
      <c r="T49" s="541">
        <v>19303.75</v>
      </c>
      <c r="U49" s="541">
        <v>19303.75</v>
      </c>
      <c r="V49" s="541">
        <v>19303.75</v>
      </c>
      <c r="W49" s="541">
        <v>19303.75</v>
      </c>
      <c r="X49" s="543" t="s">
        <v>1476</v>
      </c>
      <c r="Y49" s="541">
        <v>0</v>
      </c>
      <c r="Z49" s="541">
        <v>19661</v>
      </c>
      <c r="AA49" s="541">
        <v>0</v>
      </c>
      <c r="AB49" s="541">
        <v>0</v>
      </c>
      <c r="AC49" s="541">
        <v>0</v>
      </c>
      <c r="AD49" s="541">
        <v>0</v>
      </c>
      <c r="AE49" s="541">
        <v>0</v>
      </c>
      <c r="AF49" s="541">
        <v>0</v>
      </c>
      <c r="AG49" s="541">
        <v>0</v>
      </c>
      <c r="AH49" s="541">
        <v>0</v>
      </c>
      <c r="AI49" s="541">
        <v>0</v>
      </c>
      <c r="AJ49" s="541">
        <v>0</v>
      </c>
      <c r="AK49" s="541">
        <v>0</v>
      </c>
      <c r="AL49" s="541">
        <v>0</v>
      </c>
      <c r="AM49" s="541">
        <v>0</v>
      </c>
      <c r="AN49" s="541">
        <v>0</v>
      </c>
      <c r="AO49" s="541">
        <v>0</v>
      </c>
      <c r="AP49" s="541">
        <v>0</v>
      </c>
      <c r="AQ49" s="541">
        <v>0</v>
      </c>
      <c r="AR49" s="541">
        <v>1200</v>
      </c>
      <c r="AS49" s="541">
        <v>0</v>
      </c>
      <c r="AT49" s="543">
        <v>12230</v>
      </c>
      <c r="AU49" s="541">
        <v>0</v>
      </c>
      <c r="AV49" s="541">
        <v>1830.9375000000002</v>
      </c>
      <c r="AW49" s="541">
        <v>0</v>
      </c>
      <c r="AX49" s="541">
        <v>3697.5</v>
      </c>
      <c r="AY49" s="541">
        <v>1830.9375000000002</v>
      </c>
      <c r="AZ49" s="541">
        <v>0</v>
      </c>
      <c r="BA49" s="541">
        <v>0</v>
      </c>
      <c r="BB49" s="541">
        <v>0</v>
      </c>
      <c r="BC49" s="544">
        <v>136444.92966666666</v>
      </c>
      <c r="BD49" s="544">
        <v>136444.92966666666</v>
      </c>
      <c r="BE49" s="511"/>
      <c r="BF49" s="565">
        <v>117665.375</v>
      </c>
      <c r="BG49" s="565">
        <v>18779.554666666667</v>
      </c>
      <c r="BH49" s="565">
        <v>0</v>
      </c>
      <c r="BI49" s="565">
        <v>0</v>
      </c>
      <c r="BJ49" s="565">
        <v>136444.92966666666</v>
      </c>
      <c r="BK49" s="565">
        <v>0</v>
      </c>
      <c r="BL49" s="511"/>
      <c r="BM49" s="565">
        <v>77215</v>
      </c>
      <c r="BN49" s="565">
        <v>0</v>
      </c>
    </row>
    <row r="50" spans="1:66" ht="13.2" x14ac:dyDescent="0.25">
      <c r="A50" s="515" t="s">
        <v>616</v>
      </c>
      <c r="B50" s="517">
        <v>2030</v>
      </c>
      <c r="C50" s="517" t="s">
        <v>195</v>
      </c>
      <c r="D50" s="517" t="s">
        <v>107</v>
      </c>
      <c r="E50" s="518" t="s">
        <v>661</v>
      </c>
      <c r="F50" s="540"/>
      <c r="G50" s="540"/>
      <c r="H50" s="540"/>
      <c r="I50" s="540">
        <v>643.36416666666696</v>
      </c>
      <c r="J50" s="540">
        <v>257.34566666666677</v>
      </c>
      <c r="K50" s="540">
        <v>8193.0092499999992</v>
      </c>
      <c r="L50" s="541">
        <v>29356</v>
      </c>
      <c r="M50" s="541" t="s">
        <v>1476</v>
      </c>
      <c r="N50" s="541">
        <v>0</v>
      </c>
      <c r="O50" s="541">
        <v>0</v>
      </c>
      <c r="P50" s="541">
        <v>0</v>
      </c>
      <c r="Q50" s="541">
        <v>0</v>
      </c>
      <c r="R50" s="541">
        <v>0</v>
      </c>
      <c r="S50" s="542" t="s">
        <v>1476</v>
      </c>
      <c r="T50" s="541">
        <v>80363.75</v>
      </c>
      <c r="U50" s="541">
        <v>80363.75</v>
      </c>
      <c r="V50" s="541">
        <v>80363.75</v>
      </c>
      <c r="W50" s="541">
        <v>80363.75</v>
      </c>
      <c r="X50" s="543" t="s">
        <v>1476</v>
      </c>
      <c r="Y50" s="541">
        <v>0</v>
      </c>
      <c r="Z50" s="541">
        <v>21501</v>
      </c>
      <c r="AA50" s="541">
        <v>0</v>
      </c>
      <c r="AB50" s="541">
        <v>0</v>
      </c>
      <c r="AC50" s="541">
        <v>0</v>
      </c>
      <c r="AD50" s="541">
        <v>0</v>
      </c>
      <c r="AE50" s="541">
        <v>0</v>
      </c>
      <c r="AF50" s="541">
        <v>0</v>
      </c>
      <c r="AG50" s="541">
        <v>0</v>
      </c>
      <c r="AH50" s="541">
        <v>61688</v>
      </c>
      <c r="AI50" s="541">
        <v>6909</v>
      </c>
      <c r="AJ50" s="541">
        <v>2445</v>
      </c>
      <c r="AK50" s="541">
        <v>0</v>
      </c>
      <c r="AL50" s="541">
        <v>0</v>
      </c>
      <c r="AM50" s="541">
        <v>0</v>
      </c>
      <c r="AN50" s="541">
        <v>0</v>
      </c>
      <c r="AO50" s="541">
        <v>0</v>
      </c>
      <c r="AP50" s="541">
        <v>6450</v>
      </c>
      <c r="AQ50" s="541">
        <v>0</v>
      </c>
      <c r="AR50" s="541">
        <v>0</v>
      </c>
      <c r="AS50" s="541">
        <v>0</v>
      </c>
      <c r="AT50" s="543">
        <v>20700</v>
      </c>
      <c r="AU50" s="541">
        <v>0</v>
      </c>
      <c r="AV50" s="541">
        <v>7560.0000000000009</v>
      </c>
      <c r="AW50" s="541">
        <v>0</v>
      </c>
      <c r="AX50" s="541">
        <v>17327.5</v>
      </c>
      <c r="AY50" s="541">
        <v>7560.0000000000009</v>
      </c>
      <c r="AZ50" s="541">
        <v>0</v>
      </c>
      <c r="BA50" s="541">
        <v>0</v>
      </c>
      <c r="BB50" s="541">
        <v>0</v>
      </c>
      <c r="BC50" s="544">
        <v>512045.21908333333</v>
      </c>
      <c r="BD50" s="544">
        <v>512045.21908333333</v>
      </c>
      <c r="BE50" s="511"/>
      <c r="BF50" s="565">
        <v>473595.5</v>
      </c>
      <c r="BG50" s="565">
        <v>38449.71908333333</v>
      </c>
      <c r="BH50" s="565">
        <v>0</v>
      </c>
      <c r="BI50" s="565">
        <v>0</v>
      </c>
      <c r="BJ50" s="565">
        <v>512045.21908333333</v>
      </c>
      <c r="BK50" s="565">
        <v>0</v>
      </c>
      <c r="BL50" s="511"/>
      <c r="BM50" s="565">
        <v>321455</v>
      </c>
      <c r="BN50" s="565">
        <v>0</v>
      </c>
    </row>
    <row r="51" spans="1:66" ht="13.2" x14ac:dyDescent="0.25">
      <c r="A51" s="515" t="s">
        <v>618</v>
      </c>
      <c r="B51" s="517">
        <v>3353</v>
      </c>
      <c r="C51" s="517" t="s">
        <v>197</v>
      </c>
      <c r="D51" s="517" t="s">
        <v>36</v>
      </c>
      <c r="E51" s="539" t="s">
        <v>662</v>
      </c>
      <c r="F51" s="540"/>
      <c r="G51" s="540"/>
      <c r="H51" s="540"/>
      <c r="I51" s="540">
        <v>4944.2500000000027</v>
      </c>
      <c r="J51" s="540">
        <v>8882.3333333333321</v>
      </c>
      <c r="K51" s="540">
        <v>7663.8308333333334</v>
      </c>
      <c r="L51" s="541">
        <v>28296.333333333332</v>
      </c>
      <c r="M51" s="541" t="s">
        <v>1476</v>
      </c>
      <c r="N51" s="541">
        <v>0</v>
      </c>
      <c r="O51" s="541">
        <v>0</v>
      </c>
      <c r="P51" s="541">
        <v>0</v>
      </c>
      <c r="Q51" s="541">
        <v>0</v>
      </c>
      <c r="R51" s="541">
        <v>0</v>
      </c>
      <c r="S51" s="542" t="s">
        <v>1476</v>
      </c>
      <c r="T51" s="541">
        <v>38142.5</v>
      </c>
      <c r="U51" s="541">
        <v>38142.5</v>
      </c>
      <c r="V51" s="541">
        <v>38142.5</v>
      </c>
      <c r="W51" s="541">
        <v>38142.5</v>
      </c>
      <c r="X51" s="543" t="s">
        <v>1476</v>
      </c>
      <c r="Y51" s="541">
        <v>0</v>
      </c>
      <c r="Z51" s="541">
        <v>21635</v>
      </c>
      <c r="AA51" s="541">
        <v>0</v>
      </c>
      <c r="AB51" s="541">
        <v>0</v>
      </c>
      <c r="AC51" s="541">
        <v>0</v>
      </c>
      <c r="AD51" s="541">
        <v>0</v>
      </c>
      <c r="AE51" s="541">
        <v>0</v>
      </c>
      <c r="AF51" s="541">
        <v>0</v>
      </c>
      <c r="AG51" s="541">
        <v>0</v>
      </c>
      <c r="AH51" s="541">
        <v>97535</v>
      </c>
      <c r="AI51" s="541">
        <v>0</v>
      </c>
      <c r="AJ51" s="541">
        <v>0</v>
      </c>
      <c r="AK51" s="541">
        <v>0</v>
      </c>
      <c r="AL51" s="541">
        <v>0</v>
      </c>
      <c r="AM51" s="541">
        <v>0</v>
      </c>
      <c r="AN51" s="541">
        <v>0</v>
      </c>
      <c r="AO51" s="541">
        <v>0</v>
      </c>
      <c r="AP51" s="541">
        <v>0</v>
      </c>
      <c r="AQ51" s="541">
        <v>0</v>
      </c>
      <c r="AR51" s="541">
        <v>1200</v>
      </c>
      <c r="AS51" s="541">
        <v>0</v>
      </c>
      <c r="AT51" s="543">
        <v>21750</v>
      </c>
      <c r="AU51" s="541">
        <v>0</v>
      </c>
      <c r="AV51" s="541">
        <v>3543.75</v>
      </c>
      <c r="AW51" s="541">
        <v>0</v>
      </c>
      <c r="AX51" s="541">
        <v>7830</v>
      </c>
      <c r="AY51" s="541">
        <v>3543.75</v>
      </c>
      <c r="AZ51" s="541">
        <v>0</v>
      </c>
      <c r="BA51" s="541">
        <v>0</v>
      </c>
      <c r="BB51" s="541">
        <v>0</v>
      </c>
      <c r="BC51" s="544">
        <v>359394.2475</v>
      </c>
      <c r="BD51" s="544">
        <v>359394.2475</v>
      </c>
      <c r="BE51" s="511"/>
      <c r="BF51" s="565">
        <v>309607.5</v>
      </c>
      <c r="BG51" s="565">
        <v>49786.747499999998</v>
      </c>
      <c r="BH51" s="565">
        <v>0</v>
      </c>
      <c r="BI51" s="565">
        <v>0</v>
      </c>
      <c r="BJ51" s="565">
        <v>359394.2475</v>
      </c>
      <c r="BK51" s="565">
        <v>0</v>
      </c>
      <c r="BL51" s="511"/>
      <c r="BM51" s="565">
        <v>152570</v>
      </c>
      <c r="BN51" s="565">
        <v>0</v>
      </c>
    </row>
    <row r="52" spans="1:66" ht="13.2" x14ac:dyDescent="0.25">
      <c r="A52" s="515" t="s">
        <v>616</v>
      </c>
      <c r="B52" s="517">
        <v>2238</v>
      </c>
      <c r="C52" s="517" t="s">
        <v>199</v>
      </c>
      <c r="D52" s="517" t="s">
        <v>107</v>
      </c>
      <c r="E52" s="518" t="s">
        <v>663</v>
      </c>
      <c r="F52" s="540"/>
      <c r="G52" s="540"/>
      <c r="H52" s="540"/>
      <c r="I52" s="540">
        <v>0</v>
      </c>
      <c r="J52" s="540">
        <v>0</v>
      </c>
      <c r="K52" s="540">
        <v>0</v>
      </c>
      <c r="L52" s="541">
        <v>0</v>
      </c>
      <c r="M52" s="541" t="s">
        <v>1476</v>
      </c>
      <c r="N52" s="541">
        <v>0</v>
      </c>
      <c r="O52" s="541">
        <v>0</v>
      </c>
      <c r="P52" s="541">
        <v>0</v>
      </c>
      <c r="Q52" s="541">
        <v>0</v>
      </c>
      <c r="R52" s="541">
        <v>0</v>
      </c>
      <c r="S52" s="542" t="s">
        <v>1476</v>
      </c>
      <c r="T52" s="541">
        <v>24701.25</v>
      </c>
      <c r="U52" s="541">
        <v>24701.25</v>
      </c>
      <c r="V52" s="541">
        <v>24365</v>
      </c>
      <c r="W52" s="541">
        <v>23692.5</v>
      </c>
      <c r="X52" s="543" t="s">
        <v>1476</v>
      </c>
      <c r="Y52" s="541">
        <v>0</v>
      </c>
      <c r="Z52" s="541">
        <v>17075</v>
      </c>
      <c r="AA52" s="541">
        <v>0</v>
      </c>
      <c r="AB52" s="541">
        <v>0</v>
      </c>
      <c r="AC52" s="541">
        <v>0</v>
      </c>
      <c r="AD52" s="541">
        <v>0</v>
      </c>
      <c r="AE52" s="541">
        <v>0</v>
      </c>
      <c r="AF52" s="541">
        <v>0</v>
      </c>
      <c r="AG52" s="541">
        <v>0</v>
      </c>
      <c r="AH52" s="541">
        <v>36939</v>
      </c>
      <c r="AI52" s="541">
        <v>3322</v>
      </c>
      <c r="AJ52" s="541">
        <v>1176</v>
      </c>
      <c r="AK52" s="541">
        <v>0</v>
      </c>
      <c r="AL52" s="541">
        <v>0</v>
      </c>
      <c r="AM52" s="541">
        <v>0</v>
      </c>
      <c r="AN52" s="541">
        <v>0</v>
      </c>
      <c r="AO52" s="541">
        <v>0</v>
      </c>
      <c r="AP52" s="541">
        <v>0</v>
      </c>
      <c r="AQ52" s="541">
        <v>0</v>
      </c>
      <c r="AR52" s="541">
        <v>0</v>
      </c>
      <c r="AS52" s="541">
        <v>0</v>
      </c>
      <c r="AT52" s="543">
        <v>5500</v>
      </c>
      <c r="AU52" s="541">
        <v>0</v>
      </c>
      <c r="AV52" s="541">
        <v>1830.9375000000002</v>
      </c>
      <c r="AW52" s="541">
        <v>0</v>
      </c>
      <c r="AX52" s="541">
        <v>5220</v>
      </c>
      <c r="AY52" s="541">
        <v>1830.9375000000002</v>
      </c>
      <c r="AZ52" s="541">
        <v>0</v>
      </c>
      <c r="BA52" s="541">
        <v>0</v>
      </c>
      <c r="BB52" s="541">
        <v>0</v>
      </c>
      <c r="BC52" s="544">
        <v>170353.875</v>
      </c>
      <c r="BD52" s="544">
        <v>170353.875</v>
      </c>
      <c r="BE52" s="511"/>
      <c r="BF52" s="565">
        <v>170353.875</v>
      </c>
      <c r="BG52" s="565">
        <v>0</v>
      </c>
      <c r="BH52" s="565">
        <v>0</v>
      </c>
      <c r="BI52" s="565">
        <v>0</v>
      </c>
      <c r="BJ52" s="565">
        <v>170353.875</v>
      </c>
      <c r="BK52" s="565">
        <v>0</v>
      </c>
      <c r="BL52" s="511"/>
      <c r="BM52" s="565">
        <v>97460</v>
      </c>
      <c r="BN52" s="565">
        <v>0</v>
      </c>
    </row>
    <row r="53" spans="1:66" ht="13.2" x14ac:dyDescent="0.25">
      <c r="A53" s="515" t="s">
        <v>616</v>
      </c>
      <c r="B53" s="517">
        <v>2236</v>
      </c>
      <c r="C53" s="517" t="s">
        <v>201</v>
      </c>
      <c r="D53" s="517" t="s">
        <v>107</v>
      </c>
      <c r="E53" s="518" t="s">
        <v>664</v>
      </c>
      <c r="F53" s="540"/>
      <c r="G53" s="540"/>
      <c r="H53" s="540"/>
      <c r="I53" s="540">
        <v>0</v>
      </c>
      <c r="J53" s="540">
        <v>0</v>
      </c>
      <c r="K53" s="540">
        <v>0</v>
      </c>
      <c r="L53" s="541">
        <v>0</v>
      </c>
      <c r="M53" s="541" t="s">
        <v>1476</v>
      </c>
      <c r="N53" s="541">
        <v>0</v>
      </c>
      <c r="O53" s="541">
        <v>0</v>
      </c>
      <c r="P53" s="541">
        <v>0</v>
      </c>
      <c r="Q53" s="541">
        <v>0</v>
      </c>
      <c r="R53" s="541">
        <v>0</v>
      </c>
      <c r="S53" s="542" t="s">
        <v>1476</v>
      </c>
      <c r="T53" s="541">
        <v>44962.5</v>
      </c>
      <c r="U53" s="541">
        <v>44962.5</v>
      </c>
      <c r="V53" s="541">
        <v>44626.25</v>
      </c>
      <c r="W53" s="541">
        <v>43953.75</v>
      </c>
      <c r="X53" s="543" t="s">
        <v>1476</v>
      </c>
      <c r="Y53" s="541">
        <v>0</v>
      </c>
      <c r="Z53" s="541">
        <v>18245</v>
      </c>
      <c r="AA53" s="541">
        <v>0</v>
      </c>
      <c r="AB53" s="541">
        <v>0</v>
      </c>
      <c r="AC53" s="541">
        <v>0</v>
      </c>
      <c r="AD53" s="541">
        <v>0</v>
      </c>
      <c r="AE53" s="541">
        <v>0</v>
      </c>
      <c r="AF53" s="541">
        <v>0</v>
      </c>
      <c r="AG53" s="541">
        <v>0</v>
      </c>
      <c r="AH53" s="541">
        <v>0</v>
      </c>
      <c r="AI53" s="541">
        <v>0</v>
      </c>
      <c r="AJ53" s="541">
        <v>0</v>
      </c>
      <c r="AK53" s="541">
        <v>0</v>
      </c>
      <c r="AL53" s="541">
        <v>0</v>
      </c>
      <c r="AM53" s="541">
        <v>0</v>
      </c>
      <c r="AN53" s="541">
        <v>0</v>
      </c>
      <c r="AO53" s="541">
        <v>0</v>
      </c>
      <c r="AP53" s="541">
        <v>0</v>
      </c>
      <c r="AQ53" s="541">
        <v>0</v>
      </c>
      <c r="AR53" s="541">
        <v>0</v>
      </c>
      <c r="AS53" s="541">
        <v>0</v>
      </c>
      <c r="AT53" s="543">
        <v>7660</v>
      </c>
      <c r="AU53" s="541">
        <v>0</v>
      </c>
      <c r="AV53" s="541">
        <v>4665.9375</v>
      </c>
      <c r="AW53" s="541">
        <v>0</v>
      </c>
      <c r="AX53" s="541">
        <v>9497.5</v>
      </c>
      <c r="AY53" s="541">
        <v>4665.9375</v>
      </c>
      <c r="AZ53" s="541">
        <v>0</v>
      </c>
      <c r="BA53" s="541">
        <v>0</v>
      </c>
      <c r="BB53" s="541">
        <v>0</v>
      </c>
      <c r="BC53" s="544">
        <v>223239.375</v>
      </c>
      <c r="BD53" s="544">
        <v>223239.375</v>
      </c>
      <c r="BE53" s="511"/>
      <c r="BF53" s="565">
        <v>223239.375</v>
      </c>
      <c r="BG53" s="565">
        <v>0</v>
      </c>
      <c r="BH53" s="565">
        <v>0</v>
      </c>
      <c r="BI53" s="565">
        <v>0</v>
      </c>
      <c r="BJ53" s="565">
        <v>223239.375</v>
      </c>
      <c r="BK53" s="565">
        <v>0</v>
      </c>
      <c r="BL53" s="511"/>
      <c r="BM53" s="565">
        <v>178505</v>
      </c>
      <c r="BN53" s="565">
        <v>0</v>
      </c>
    </row>
    <row r="54" spans="1:66" ht="13.2" x14ac:dyDescent="0.25">
      <c r="A54" s="515" t="s">
        <v>614</v>
      </c>
      <c r="B54" s="517">
        <v>2465</v>
      </c>
      <c r="C54" s="517" t="s">
        <v>203</v>
      </c>
      <c r="D54" s="517" t="s">
        <v>36</v>
      </c>
      <c r="E54" s="518" t="s">
        <v>665</v>
      </c>
      <c r="F54" s="540"/>
      <c r="G54" s="540"/>
      <c r="H54" s="540"/>
      <c r="I54" s="540">
        <v>2339.5833333333335</v>
      </c>
      <c r="J54" s="540">
        <v>466.66666666666669</v>
      </c>
      <c r="K54" s="540">
        <v>2850.0025000000001</v>
      </c>
      <c r="L54" s="541">
        <v>0</v>
      </c>
      <c r="M54" s="541" t="s">
        <v>1476</v>
      </c>
      <c r="N54" s="541">
        <v>0</v>
      </c>
      <c r="O54" s="541">
        <v>0</v>
      </c>
      <c r="P54" s="541">
        <v>0</v>
      </c>
      <c r="Q54" s="541">
        <v>0</v>
      </c>
      <c r="R54" s="541">
        <v>0</v>
      </c>
      <c r="S54" s="542" t="s">
        <v>1476</v>
      </c>
      <c r="T54" s="541">
        <v>28150</v>
      </c>
      <c r="U54" s="541">
        <v>28150</v>
      </c>
      <c r="V54" s="541">
        <v>28150</v>
      </c>
      <c r="W54" s="541">
        <v>28150</v>
      </c>
      <c r="X54" s="543" t="s">
        <v>1476</v>
      </c>
      <c r="Y54" s="541">
        <v>0</v>
      </c>
      <c r="Z54" s="541">
        <v>19565</v>
      </c>
      <c r="AA54" s="541">
        <v>0</v>
      </c>
      <c r="AB54" s="541">
        <v>0</v>
      </c>
      <c r="AC54" s="541">
        <v>0</v>
      </c>
      <c r="AD54" s="541">
        <v>0</v>
      </c>
      <c r="AE54" s="541">
        <v>0</v>
      </c>
      <c r="AF54" s="541">
        <v>0</v>
      </c>
      <c r="AG54" s="541">
        <v>0</v>
      </c>
      <c r="AH54" s="541">
        <v>61152</v>
      </c>
      <c r="AI54" s="541">
        <v>5846</v>
      </c>
      <c r="AJ54" s="541">
        <v>2069</v>
      </c>
      <c r="AK54" s="541">
        <v>0</v>
      </c>
      <c r="AL54" s="541">
        <v>0</v>
      </c>
      <c r="AM54" s="541">
        <v>0</v>
      </c>
      <c r="AN54" s="541">
        <v>0</v>
      </c>
      <c r="AO54" s="541">
        <v>0</v>
      </c>
      <c r="AP54" s="541">
        <v>0</v>
      </c>
      <c r="AQ54" s="541">
        <v>0</v>
      </c>
      <c r="AR54" s="541">
        <v>0</v>
      </c>
      <c r="AS54" s="541">
        <v>0</v>
      </c>
      <c r="AT54" s="543">
        <v>13830</v>
      </c>
      <c r="AU54" s="541">
        <v>0</v>
      </c>
      <c r="AV54" s="541">
        <v>2480.625</v>
      </c>
      <c r="AW54" s="541">
        <v>0</v>
      </c>
      <c r="AX54" s="541">
        <v>5800</v>
      </c>
      <c r="AY54" s="541">
        <v>2480.625</v>
      </c>
      <c r="AZ54" s="541">
        <v>0</v>
      </c>
      <c r="BA54" s="541">
        <v>0</v>
      </c>
      <c r="BB54" s="541">
        <v>0</v>
      </c>
      <c r="BC54" s="544">
        <v>231479.5025</v>
      </c>
      <c r="BD54" s="544">
        <v>231479.5025</v>
      </c>
      <c r="BE54" s="511"/>
      <c r="BF54" s="565">
        <v>225823.25</v>
      </c>
      <c r="BG54" s="565">
        <v>5656.2525000000005</v>
      </c>
      <c r="BH54" s="565">
        <v>0</v>
      </c>
      <c r="BI54" s="565">
        <v>0</v>
      </c>
      <c r="BJ54" s="565">
        <v>231479.5025</v>
      </c>
      <c r="BK54" s="565">
        <v>0</v>
      </c>
      <c r="BL54" s="511"/>
      <c r="BM54" s="565">
        <v>112600</v>
      </c>
      <c r="BN54" s="565">
        <v>0</v>
      </c>
    </row>
    <row r="55" spans="1:66" ht="13.2" x14ac:dyDescent="0.25">
      <c r="A55" s="515" t="s">
        <v>614</v>
      </c>
      <c r="B55" s="517">
        <v>2312</v>
      </c>
      <c r="C55" s="517" t="s">
        <v>205</v>
      </c>
      <c r="D55" s="517" t="s">
        <v>36</v>
      </c>
      <c r="E55" s="518" t="s">
        <v>666</v>
      </c>
      <c r="F55" s="540"/>
      <c r="G55" s="540"/>
      <c r="H55" s="540"/>
      <c r="I55" s="540">
        <v>38568.782916666663</v>
      </c>
      <c r="J55" s="540">
        <v>48824.672666666665</v>
      </c>
      <c r="K55" s="540">
        <v>44094.832000000002</v>
      </c>
      <c r="L55" s="541">
        <v>44363.333333333328</v>
      </c>
      <c r="M55" s="541" t="s">
        <v>1476</v>
      </c>
      <c r="N55" s="541">
        <v>0</v>
      </c>
      <c r="O55" s="541">
        <v>0</v>
      </c>
      <c r="P55" s="541">
        <v>0</v>
      </c>
      <c r="Q55" s="541">
        <v>0</v>
      </c>
      <c r="R55" s="541">
        <v>0</v>
      </c>
      <c r="S55" s="542" t="s">
        <v>1476</v>
      </c>
      <c r="T55" s="541">
        <v>19485</v>
      </c>
      <c r="U55" s="541">
        <v>19485</v>
      </c>
      <c r="V55" s="541">
        <v>19485</v>
      </c>
      <c r="W55" s="541">
        <v>19485</v>
      </c>
      <c r="X55" s="543" t="s">
        <v>1476</v>
      </c>
      <c r="Y55" s="541">
        <v>0</v>
      </c>
      <c r="Z55" s="541">
        <v>19610</v>
      </c>
      <c r="AA55" s="541">
        <v>0</v>
      </c>
      <c r="AB55" s="541">
        <v>0</v>
      </c>
      <c r="AC55" s="541">
        <v>0</v>
      </c>
      <c r="AD55" s="541">
        <v>0</v>
      </c>
      <c r="AE55" s="541">
        <v>0</v>
      </c>
      <c r="AF55" s="541">
        <v>0</v>
      </c>
      <c r="AG55" s="541">
        <v>0</v>
      </c>
      <c r="AH55" s="541">
        <v>67413</v>
      </c>
      <c r="AI55" s="541">
        <v>0</v>
      </c>
      <c r="AJ55" s="541">
        <v>0</v>
      </c>
      <c r="AK55" s="541">
        <v>0</v>
      </c>
      <c r="AL55" s="541">
        <v>0</v>
      </c>
      <c r="AM55" s="541">
        <v>0</v>
      </c>
      <c r="AN55" s="541">
        <v>0</v>
      </c>
      <c r="AO55" s="541">
        <v>0</v>
      </c>
      <c r="AP55" s="541">
        <v>0</v>
      </c>
      <c r="AQ55" s="541">
        <v>0</v>
      </c>
      <c r="AR55" s="541">
        <v>1200</v>
      </c>
      <c r="AS55" s="541">
        <v>0</v>
      </c>
      <c r="AT55" s="543">
        <v>14000</v>
      </c>
      <c r="AU55" s="541">
        <v>0</v>
      </c>
      <c r="AV55" s="541">
        <v>1771.875</v>
      </c>
      <c r="AW55" s="541">
        <v>0</v>
      </c>
      <c r="AX55" s="541">
        <v>4060</v>
      </c>
      <c r="AY55" s="541">
        <v>1771.875</v>
      </c>
      <c r="AZ55" s="541">
        <v>0</v>
      </c>
      <c r="BA55" s="541">
        <v>0</v>
      </c>
      <c r="BB55" s="541">
        <v>0</v>
      </c>
      <c r="BC55" s="544">
        <v>363618.37091666664</v>
      </c>
      <c r="BD55" s="544">
        <v>363618.37091666664</v>
      </c>
      <c r="BE55" s="511"/>
      <c r="BF55" s="565">
        <v>187766.75</v>
      </c>
      <c r="BG55" s="565">
        <v>175851.62091666664</v>
      </c>
      <c r="BH55" s="565">
        <v>0</v>
      </c>
      <c r="BI55" s="565">
        <v>0</v>
      </c>
      <c r="BJ55" s="565">
        <v>363618.37091666664</v>
      </c>
      <c r="BK55" s="565">
        <v>0</v>
      </c>
      <c r="BL55" s="511"/>
      <c r="BM55" s="565">
        <v>77940</v>
      </c>
      <c r="BN55" s="565">
        <v>0</v>
      </c>
    </row>
    <row r="56" spans="1:66" ht="13.2" x14ac:dyDescent="0.25">
      <c r="A56" s="515" t="s">
        <v>614</v>
      </c>
      <c r="B56" s="517">
        <v>2040</v>
      </c>
      <c r="C56" s="517" t="s">
        <v>207</v>
      </c>
      <c r="D56" s="517" t="s">
        <v>36</v>
      </c>
      <c r="E56" s="518" t="s">
        <v>667</v>
      </c>
      <c r="F56" s="540"/>
      <c r="G56" s="540"/>
      <c r="H56" s="540"/>
      <c r="I56" s="540">
        <v>4960.8333333333339</v>
      </c>
      <c r="J56" s="540">
        <v>8132.4256666666661</v>
      </c>
      <c r="K56" s="540">
        <v>10643.06675</v>
      </c>
      <c r="L56" s="541">
        <v>2125</v>
      </c>
      <c r="M56" s="541" t="s">
        <v>1476</v>
      </c>
      <c r="N56" s="541">
        <v>0</v>
      </c>
      <c r="O56" s="541">
        <v>0</v>
      </c>
      <c r="P56" s="541">
        <v>0</v>
      </c>
      <c r="Q56" s="541">
        <v>88063.003403464798</v>
      </c>
      <c r="R56" s="541">
        <v>70450.402722771832</v>
      </c>
      <c r="S56" s="542">
        <v>45258.73</v>
      </c>
      <c r="T56" s="541">
        <v>27900</v>
      </c>
      <c r="U56" s="541">
        <v>27900</v>
      </c>
      <c r="V56" s="541">
        <v>27900</v>
      </c>
      <c r="W56" s="541">
        <v>27900</v>
      </c>
      <c r="X56" s="543" t="s">
        <v>1476</v>
      </c>
      <c r="Y56" s="541">
        <v>0</v>
      </c>
      <c r="Z56" s="541">
        <v>19756</v>
      </c>
      <c r="AA56" s="541">
        <v>0</v>
      </c>
      <c r="AB56" s="541">
        <v>0</v>
      </c>
      <c r="AC56" s="541">
        <v>0</v>
      </c>
      <c r="AD56" s="541">
        <v>0</v>
      </c>
      <c r="AE56" s="541">
        <v>0</v>
      </c>
      <c r="AF56" s="541">
        <v>0</v>
      </c>
      <c r="AG56" s="541">
        <v>0</v>
      </c>
      <c r="AH56" s="541">
        <v>60559</v>
      </c>
      <c r="AI56" s="541">
        <v>5979</v>
      </c>
      <c r="AJ56" s="541">
        <v>2116</v>
      </c>
      <c r="AK56" s="541">
        <v>0</v>
      </c>
      <c r="AL56" s="541">
        <v>0</v>
      </c>
      <c r="AM56" s="541">
        <v>0</v>
      </c>
      <c r="AN56" s="541">
        <v>0</v>
      </c>
      <c r="AO56" s="541">
        <v>0</v>
      </c>
      <c r="AP56" s="541">
        <v>0</v>
      </c>
      <c r="AQ56" s="541">
        <v>0</v>
      </c>
      <c r="AR56" s="541">
        <v>1200</v>
      </c>
      <c r="AS56" s="541">
        <v>0</v>
      </c>
      <c r="AT56" s="543">
        <v>15830</v>
      </c>
      <c r="AU56" s="541">
        <v>0</v>
      </c>
      <c r="AV56" s="541">
        <v>2657.8125</v>
      </c>
      <c r="AW56" s="541">
        <v>0</v>
      </c>
      <c r="AX56" s="541">
        <v>5800</v>
      </c>
      <c r="AY56" s="541">
        <v>2657.8125</v>
      </c>
      <c r="AZ56" s="541">
        <v>0</v>
      </c>
      <c r="BA56" s="541">
        <v>0</v>
      </c>
      <c r="BB56" s="541">
        <v>0</v>
      </c>
      <c r="BC56" s="544">
        <v>457789.0868762366</v>
      </c>
      <c r="BD56" s="544">
        <v>457789.0868762366</v>
      </c>
      <c r="BE56" s="511"/>
      <c r="BF56" s="565">
        <v>228155.625</v>
      </c>
      <c r="BG56" s="565">
        <v>229633.46187623663</v>
      </c>
      <c r="BH56" s="565">
        <v>0</v>
      </c>
      <c r="BI56" s="565">
        <v>0</v>
      </c>
      <c r="BJ56" s="565">
        <v>457789.0868762366</v>
      </c>
      <c r="BK56" s="565">
        <v>0</v>
      </c>
      <c r="BL56" s="511"/>
      <c r="BM56" s="565">
        <v>111600</v>
      </c>
      <c r="BN56" s="565">
        <v>203772.13612623664</v>
      </c>
    </row>
    <row r="57" spans="1:66" ht="13.2" x14ac:dyDescent="0.25">
      <c r="A57" s="515" t="s">
        <v>616</v>
      </c>
      <c r="B57" s="517">
        <v>2251</v>
      </c>
      <c r="C57" s="517" t="s">
        <v>209</v>
      </c>
      <c r="D57" s="517" t="s">
        <v>107</v>
      </c>
      <c r="E57" s="518" t="s">
        <v>668</v>
      </c>
      <c r="F57" s="540"/>
      <c r="G57" s="540"/>
      <c r="H57" s="540"/>
      <c r="I57" s="540">
        <v>9618.9975000000013</v>
      </c>
      <c r="J57" s="540">
        <v>5367.8646666666664</v>
      </c>
      <c r="K57" s="540">
        <v>6525.8960000000006</v>
      </c>
      <c r="L57" s="541">
        <v>20284.416666666668</v>
      </c>
      <c r="M57" s="541" t="s">
        <v>1476</v>
      </c>
      <c r="N57" s="541">
        <v>0</v>
      </c>
      <c r="O57" s="541">
        <v>0</v>
      </c>
      <c r="P57" s="541">
        <v>0</v>
      </c>
      <c r="Q57" s="541">
        <v>0</v>
      </c>
      <c r="R57" s="541">
        <v>0</v>
      </c>
      <c r="S57" s="542" t="s">
        <v>1476</v>
      </c>
      <c r="T57" s="541">
        <v>28227.5</v>
      </c>
      <c r="U57" s="541">
        <v>28227.5</v>
      </c>
      <c r="V57" s="541">
        <v>27891.25</v>
      </c>
      <c r="W57" s="541">
        <v>27218.75</v>
      </c>
      <c r="X57" s="543" t="s">
        <v>1476</v>
      </c>
      <c r="Y57" s="541">
        <v>0</v>
      </c>
      <c r="Z57" s="541">
        <v>19595</v>
      </c>
      <c r="AA57" s="541">
        <v>0</v>
      </c>
      <c r="AB57" s="541">
        <v>0</v>
      </c>
      <c r="AC57" s="541">
        <v>0</v>
      </c>
      <c r="AD57" s="541">
        <v>0</v>
      </c>
      <c r="AE57" s="541">
        <v>0</v>
      </c>
      <c r="AF57" s="541">
        <v>0</v>
      </c>
      <c r="AG57" s="541">
        <v>0</v>
      </c>
      <c r="AH57" s="541">
        <v>66579</v>
      </c>
      <c r="AI57" s="541">
        <v>5049</v>
      </c>
      <c r="AJ57" s="541">
        <v>1786</v>
      </c>
      <c r="AK57" s="541">
        <v>0</v>
      </c>
      <c r="AL57" s="541">
        <v>0</v>
      </c>
      <c r="AM57" s="541">
        <v>0</v>
      </c>
      <c r="AN57" s="541">
        <v>0</v>
      </c>
      <c r="AO57" s="541">
        <v>0</v>
      </c>
      <c r="AP57" s="541">
        <v>2010</v>
      </c>
      <c r="AQ57" s="541">
        <v>0</v>
      </c>
      <c r="AR57" s="541">
        <v>1200</v>
      </c>
      <c r="AS57" s="541">
        <v>0</v>
      </c>
      <c r="AT57" s="543">
        <v>13960</v>
      </c>
      <c r="AU57" s="541">
        <v>0</v>
      </c>
      <c r="AV57" s="541">
        <v>2539.6875</v>
      </c>
      <c r="AW57" s="541">
        <v>0</v>
      </c>
      <c r="AX57" s="541">
        <v>5582.5</v>
      </c>
      <c r="AY57" s="541">
        <v>2539.6875</v>
      </c>
      <c r="AZ57" s="541">
        <v>0</v>
      </c>
      <c r="BA57" s="541">
        <v>0</v>
      </c>
      <c r="BB57" s="541">
        <v>0</v>
      </c>
      <c r="BC57" s="544">
        <v>274203.04983333335</v>
      </c>
      <c r="BD57" s="544">
        <v>274203.04983333335</v>
      </c>
      <c r="BE57" s="511"/>
      <c r="BF57" s="565">
        <v>232405.875</v>
      </c>
      <c r="BG57" s="565">
        <v>41797.174833333338</v>
      </c>
      <c r="BH57" s="565">
        <v>0</v>
      </c>
      <c r="BI57" s="565">
        <v>0</v>
      </c>
      <c r="BJ57" s="565">
        <v>274203.04983333335</v>
      </c>
      <c r="BK57" s="565">
        <v>0</v>
      </c>
      <c r="BL57" s="511"/>
      <c r="BM57" s="565">
        <v>111565</v>
      </c>
      <c r="BN57" s="565">
        <v>0</v>
      </c>
    </row>
    <row r="58" spans="1:66" ht="13.2" x14ac:dyDescent="0.25">
      <c r="A58" s="515" t="s">
        <v>616</v>
      </c>
      <c r="B58" s="517">
        <v>3319</v>
      </c>
      <c r="C58" s="517" t="s">
        <v>211</v>
      </c>
      <c r="D58" s="517" t="s">
        <v>107</v>
      </c>
      <c r="E58" s="518" t="s">
        <v>669</v>
      </c>
      <c r="F58" s="540"/>
      <c r="G58" s="540"/>
      <c r="H58" s="540"/>
      <c r="I58" s="540">
        <v>4610.0979166666666</v>
      </c>
      <c r="J58" s="540">
        <v>1746</v>
      </c>
      <c r="K58" s="540">
        <v>4744</v>
      </c>
      <c r="L58" s="541">
        <v>0</v>
      </c>
      <c r="M58" s="541" t="s">
        <v>1476</v>
      </c>
      <c r="N58" s="541">
        <v>0</v>
      </c>
      <c r="O58" s="541">
        <v>0</v>
      </c>
      <c r="P58" s="541">
        <v>0</v>
      </c>
      <c r="Q58" s="541">
        <v>9889.7335959367792</v>
      </c>
      <c r="R58" s="541">
        <v>7911.7868767494228</v>
      </c>
      <c r="S58" s="542">
        <v>5934.09</v>
      </c>
      <c r="T58" s="541">
        <v>54136.25</v>
      </c>
      <c r="U58" s="541">
        <v>54136.25</v>
      </c>
      <c r="V58" s="541">
        <v>54136.25</v>
      </c>
      <c r="W58" s="541">
        <v>54136.25</v>
      </c>
      <c r="X58" s="543" t="s">
        <v>1476</v>
      </c>
      <c r="Y58" s="541">
        <v>0</v>
      </c>
      <c r="Z58" s="541">
        <v>19183</v>
      </c>
      <c r="AA58" s="541">
        <v>0</v>
      </c>
      <c r="AB58" s="541">
        <v>0</v>
      </c>
      <c r="AC58" s="541">
        <v>0</v>
      </c>
      <c r="AD58" s="541">
        <v>0</v>
      </c>
      <c r="AE58" s="541">
        <v>0</v>
      </c>
      <c r="AF58" s="541">
        <v>0</v>
      </c>
      <c r="AG58" s="541">
        <v>0</v>
      </c>
      <c r="AH58" s="541">
        <v>37847</v>
      </c>
      <c r="AI58" s="541">
        <v>4517</v>
      </c>
      <c r="AJ58" s="541">
        <v>1599</v>
      </c>
      <c r="AK58" s="541">
        <v>0</v>
      </c>
      <c r="AL58" s="541">
        <v>0</v>
      </c>
      <c r="AM58" s="541">
        <v>0</v>
      </c>
      <c r="AN58" s="541">
        <v>0</v>
      </c>
      <c r="AO58" s="541">
        <v>0</v>
      </c>
      <c r="AP58" s="541">
        <v>0</v>
      </c>
      <c r="AQ58" s="541">
        <v>0</v>
      </c>
      <c r="AR58" s="541">
        <v>0</v>
      </c>
      <c r="AS58" s="541">
        <v>0</v>
      </c>
      <c r="AT58" s="543">
        <v>12330</v>
      </c>
      <c r="AU58" s="541">
        <v>0</v>
      </c>
      <c r="AV58" s="541">
        <v>5351.71875</v>
      </c>
      <c r="AW58" s="541">
        <v>0</v>
      </c>
      <c r="AX58" s="541">
        <v>11864</v>
      </c>
      <c r="AY58" s="541">
        <v>5351.71875</v>
      </c>
      <c r="AZ58" s="541">
        <v>0</v>
      </c>
      <c r="BA58" s="541">
        <v>0</v>
      </c>
      <c r="BB58" s="541">
        <v>0</v>
      </c>
      <c r="BC58" s="544">
        <v>349424.14588935289</v>
      </c>
      <c r="BD58" s="544">
        <v>349424.14588935289</v>
      </c>
      <c r="BE58" s="511"/>
      <c r="BF58" s="565">
        <v>314588.4375</v>
      </c>
      <c r="BG58" s="565">
        <v>34835.708389352862</v>
      </c>
      <c r="BH58" s="565">
        <v>0</v>
      </c>
      <c r="BI58" s="565">
        <v>0</v>
      </c>
      <c r="BJ58" s="565">
        <v>349424.14588935289</v>
      </c>
      <c r="BK58" s="565">
        <v>0</v>
      </c>
      <c r="BL58" s="511"/>
      <c r="BM58" s="565">
        <v>216545</v>
      </c>
      <c r="BN58" s="565">
        <v>23735.610472686203</v>
      </c>
    </row>
    <row r="59" spans="1:66" ht="13.2" x14ac:dyDescent="0.25">
      <c r="A59" s="515" t="s">
        <v>616</v>
      </c>
      <c r="B59" s="517">
        <v>3002</v>
      </c>
      <c r="C59" s="517" t="s">
        <v>213</v>
      </c>
      <c r="D59" s="517" t="s">
        <v>107</v>
      </c>
      <c r="E59" s="518" t="s">
        <v>670</v>
      </c>
      <c r="F59" s="540"/>
      <c r="G59" s="540"/>
      <c r="H59" s="540"/>
      <c r="I59" s="540">
        <v>9889.7004166666666</v>
      </c>
      <c r="J59" s="540">
        <v>9409.782666666666</v>
      </c>
      <c r="K59" s="540">
        <v>9657.3395</v>
      </c>
      <c r="L59" s="541">
        <v>0</v>
      </c>
      <c r="M59" s="541" t="s">
        <v>1476</v>
      </c>
      <c r="N59" s="541">
        <v>0</v>
      </c>
      <c r="O59" s="541">
        <v>0</v>
      </c>
      <c r="P59" s="541">
        <v>0</v>
      </c>
      <c r="Q59" s="541">
        <v>0</v>
      </c>
      <c r="R59" s="541">
        <v>0</v>
      </c>
      <c r="S59" s="542" t="s">
        <v>1476</v>
      </c>
      <c r="T59" s="541">
        <v>31607.5</v>
      </c>
      <c r="U59" s="541">
        <v>31607.5</v>
      </c>
      <c r="V59" s="541">
        <v>31607.5</v>
      </c>
      <c r="W59" s="541">
        <v>31607.5</v>
      </c>
      <c r="X59" s="543" t="s">
        <v>1476</v>
      </c>
      <c r="Y59" s="541">
        <v>0</v>
      </c>
      <c r="Z59" s="541">
        <v>17741</v>
      </c>
      <c r="AA59" s="541">
        <v>0</v>
      </c>
      <c r="AB59" s="541">
        <v>0</v>
      </c>
      <c r="AC59" s="541">
        <v>0</v>
      </c>
      <c r="AD59" s="541">
        <v>0</v>
      </c>
      <c r="AE59" s="541">
        <v>0</v>
      </c>
      <c r="AF59" s="541">
        <v>0</v>
      </c>
      <c r="AG59" s="541">
        <v>0</v>
      </c>
      <c r="AH59" s="541">
        <v>17655</v>
      </c>
      <c r="AI59" s="541">
        <v>3056</v>
      </c>
      <c r="AJ59" s="541">
        <v>1082</v>
      </c>
      <c r="AK59" s="541">
        <v>0</v>
      </c>
      <c r="AL59" s="541">
        <v>0</v>
      </c>
      <c r="AM59" s="541">
        <v>0</v>
      </c>
      <c r="AN59" s="541">
        <v>0</v>
      </c>
      <c r="AO59" s="541">
        <v>0</v>
      </c>
      <c r="AP59" s="541">
        <v>0</v>
      </c>
      <c r="AQ59" s="541">
        <v>0</v>
      </c>
      <c r="AR59" s="541">
        <v>1200</v>
      </c>
      <c r="AS59" s="541">
        <v>0</v>
      </c>
      <c r="AT59" s="543">
        <v>6800</v>
      </c>
      <c r="AU59" s="541">
        <v>0</v>
      </c>
      <c r="AV59" s="541">
        <v>2953.125</v>
      </c>
      <c r="AW59" s="541">
        <v>0</v>
      </c>
      <c r="AX59" s="541">
        <v>6815</v>
      </c>
      <c r="AY59" s="541">
        <v>2953.125</v>
      </c>
      <c r="AZ59" s="541">
        <v>0</v>
      </c>
      <c r="BA59" s="541">
        <v>0</v>
      </c>
      <c r="BB59" s="541">
        <v>0</v>
      </c>
      <c r="BC59" s="544">
        <v>215642.07258333333</v>
      </c>
      <c r="BD59" s="544">
        <v>215642.07258333333</v>
      </c>
      <c r="BE59" s="511"/>
      <c r="BF59" s="565">
        <v>186685.25</v>
      </c>
      <c r="BG59" s="565">
        <v>28956.822583333334</v>
      </c>
      <c r="BH59" s="565">
        <v>0</v>
      </c>
      <c r="BI59" s="565">
        <v>0</v>
      </c>
      <c r="BJ59" s="565">
        <v>215642.07258333333</v>
      </c>
      <c r="BK59" s="565">
        <v>0</v>
      </c>
      <c r="BL59" s="511"/>
      <c r="BM59" s="565">
        <v>126430</v>
      </c>
      <c r="BN59" s="565">
        <v>0</v>
      </c>
    </row>
    <row r="60" spans="1:66" ht="13.2" x14ac:dyDescent="0.25">
      <c r="A60" s="515" t="s">
        <v>614</v>
      </c>
      <c r="B60" s="517">
        <v>3432</v>
      </c>
      <c r="C60" s="517" t="s">
        <v>215</v>
      </c>
      <c r="D60" s="517" t="s">
        <v>36</v>
      </c>
      <c r="E60" s="518" t="s">
        <v>671</v>
      </c>
      <c r="F60" s="540"/>
      <c r="G60" s="540"/>
      <c r="H60" s="540"/>
      <c r="I60" s="540">
        <v>27453.527916666659</v>
      </c>
      <c r="J60" s="540">
        <v>48399.822333333337</v>
      </c>
      <c r="K60" s="540">
        <v>32626.391749999999</v>
      </c>
      <c r="L60" s="541">
        <v>32176</v>
      </c>
      <c r="M60" s="541" t="s">
        <v>1476</v>
      </c>
      <c r="N60" s="541">
        <v>0</v>
      </c>
      <c r="O60" s="541">
        <v>0</v>
      </c>
      <c r="P60" s="541">
        <v>0</v>
      </c>
      <c r="Q60" s="541">
        <v>0</v>
      </c>
      <c r="R60" s="541">
        <v>0</v>
      </c>
      <c r="S60" s="542" t="s">
        <v>1476</v>
      </c>
      <c r="T60" s="541">
        <v>125421.25</v>
      </c>
      <c r="U60" s="541">
        <v>125421.25</v>
      </c>
      <c r="V60" s="541">
        <v>125421.25</v>
      </c>
      <c r="W60" s="541">
        <v>125421.25</v>
      </c>
      <c r="X60" s="543" t="s">
        <v>1476</v>
      </c>
      <c r="Y60" s="541">
        <v>0</v>
      </c>
      <c r="Z60" s="541">
        <v>22931</v>
      </c>
      <c r="AA60" s="541">
        <v>0</v>
      </c>
      <c r="AB60" s="541">
        <v>0</v>
      </c>
      <c r="AC60" s="541">
        <v>0</v>
      </c>
      <c r="AD60" s="541">
        <v>0</v>
      </c>
      <c r="AE60" s="541">
        <v>0</v>
      </c>
      <c r="AF60" s="541">
        <v>0</v>
      </c>
      <c r="AG60" s="541">
        <v>0</v>
      </c>
      <c r="AH60" s="541">
        <v>77565</v>
      </c>
      <c r="AI60" s="541">
        <v>11294</v>
      </c>
      <c r="AJ60" s="541">
        <v>3997</v>
      </c>
      <c r="AK60" s="541">
        <v>0</v>
      </c>
      <c r="AL60" s="541">
        <v>0</v>
      </c>
      <c r="AM60" s="541">
        <v>0</v>
      </c>
      <c r="AN60" s="541">
        <v>0</v>
      </c>
      <c r="AO60" s="541">
        <v>0</v>
      </c>
      <c r="AP60" s="541">
        <v>0</v>
      </c>
      <c r="AQ60" s="541">
        <v>0</v>
      </c>
      <c r="AR60" s="541">
        <v>1200</v>
      </c>
      <c r="AS60" s="541">
        <v>0</v>
      </c>
      <c r="AT60" s="543">
        <v>25860</v>
      </c>
      <c r="AU60" s="541">
        <v>0</v>
      </c>
      <c r="AV60" s="541">
        <v>11989.6875</v>
      </c>
      <c r="AW60" s="541">
        <v>0</v>
      </c>
      <c r="AX60" s="541">
        <v>27042.5</v>
      </c>
      <c r="AY60" s="541">
        <v>11989.6875</v>
      </c>
      <c r="AZ60" s="541">
        <v>0</v>
      </c>
      <c r="BA60" s="541">
        <v>0</v>
      </c>
      <c r="BB60" s="541">
        <v>0</v>
      </c>
      <c r="BC60" s="544">
        <v>836209.61699999997</v>
      </c>
      <c r="BD60" s="544">
        <v>836209.61699999997</v>
      </c>
      <c r="BE60" s="511"/>
      <c r="BF60" s="565">
        <v>695553.875</v>
      </c>
      <c r="BG60" s="565">
        <v>140655.74199999997</v>
      </c>
      <c r="BH60" s="565">
        <v>0</v>
      </c>
      <c r="BI60" s="565">
        <v>0</v>
      </c>
      <c r="BJ60" s="565">
        <v>836209.61699999997</v>
      </c>
      <c r="BK60" s="565">
        <v>0</v>
      </c>
      <c r="BL60" s="511"/>
      <c r="BM60" s="565">
        <v>501685</v>
      </c>
      <c r="BN60" s="565">
        <v>0</v>
      </c>
    </row>
    <row r="61" spans="1:66" ht="13.2" x14ac:dyDescent="0.25">
      <c r="A61" s="515" t="s">
        <v>618</v>
      </c>
      <c r="B61" s="517">
        <v>2289</v>
      </c>
      <c r="C61" s="517" t="s">
        <v>217</v>
      </c>
      <c r="D61" s="517" t="s">
        <v>36</v>
      </c>
      <c r="E61" s="518" t="s">
        <v>672</v>
      </c>
      <c r="F61" s="540"/>
      <c r="G61" s="540"/>
      <c r="H61" s="540"/>
      <c r="I61" s="540">
        <v>12694.166666666666</v>
      </c>
      <c r="J61" s="540">
        <v>16248.890333333333</v>
      </c>
      <c r="K61" s="540">
        <v>34566.593249999998</v>
      </c>
      <c r="L61" s="541">
        <v>3000</v>
      </c>
      <c r="M61" s="541" t="s">
        <v>1476</v>
      </c>
      <c r="N61" s="541">
        <v>0</v>
      </c>
      <c r="O61" s="541">
        <v>0</v>
      </c>
      <c r="P61" s="541">
        <v>0</v>
      </c>
      <c r="Q61" s="541">
        <v>0</v>
      </c>
      <c r="R61" s="541">
        <v>0</v>
      </c>
      <c r="S61" s="542" t="s">
        <v>1476</v>
      </c>
      <c r="T61" s="541">
        <v>31607.5</v>
      </c>
      <c r="U61" s="541">
        <v>31607.5</v>
      </c>
      <c r="V61" s="541">
        <v>31607.5</v>
      </c>
      <c r="W61" s="541">
        <v>31607.5</v>
      </c>
      <c r="X61" s="543" t="s">
        <v>1476</v>
      </c>
      <c r="Y61" s="541">
        <v>0</v>
      </c>
      <c r="Z61" s="541">
        <v>18996</v>
      </c>
      <c r="AA61" s="541">
        <v>0</v>
      </c>
      <c r="AB61" s="541">
        <v>0</v>
      </c>
      <c r="AC61" s="541">
        <v>0</v>
      </c>
      <c r="AD61" s="541">
        <v>40162.5</v>
      </c>
      <c r="AE61" s="541">
        <v>0</v>
      </c>
      <c r="AF61" s="541">
        <v>0</v>
      </c>
      <c r="AG61" s="541">
        <v>0</v>
      </c>
      <c r="AH61" s="541">
        <v>53019</v>
      </c>
      <c r="AI61" s="541">
        <v>0</v>
      </c>
      <c r="AJ61" s="541">
        <v>0</v>
      </c>
      <c r="AK61" s="541">
        <v>0</v>
      </c>
      <c r="AL61" s="541">
        <v>0</v>
      </c>
      <c r="AM61" s="541">
        <v>0</v>
      </c>
      <c r="AN61" s="541">
        <v>0</v>
      </c>
      <c r="AO61" s="541">
        <v>0</v>
      </c>
      <c r="AP61" s="541">
        <v>644</v>
      </c>
      <c r="AQ61" s="541">
        <v>0</v>
      </c>
      <c r="AR61" s="541">
        <v>1200</v>
      </c>
      <c r="AS61" s="541">
        <v>0</v>
      </c>
      <c r="AT61" s="543">
        <v>12330</v>
      </c>
      <c r="AU61" s="541">
        <v>0</v>
      </c>
      <c r="AV61" s="541">
        <v>2894.0625</v>
      </c>
      <c r="AW61" s="541">
        <v>0</v>
      </c>
      <c r="AX61" s="541">
        <v>6815</v>
      </c>
      <c r="AY61" s="541">
        <v>2894.0625</v>
      </c>
      <c r="AZ61" s="541">
        <v>0</v>
      </c>
      <c r="BA61" s="541">
        <v>0</v>
      </c>
      <c r="BB61" s="541">
        <v>0</v>
      </c>
      <c r="BC61" s="544">
        <v>331894.27525000001</v>
      </c>
      <c r="BD61" s="544">
        <v>331894.27525000001</v>
      </c>
      <c r="BE61" s="511"/>
      <c r="BF61" s="565">
        <v>225222.125</v>
      </c>
      <c r="BG61" s="565">
        <v>66509.650250000006</v>
      </c>
      <c r="BH61" s="565">
        <v>40162.5</v>
      </c>
      <c r="BI61" s="565">
        <v>0</v>
      </c>
      <c r="BJ61" s="565">
        <v>331894.27525000001</v>
      </c>
      <c r="BK61" s="565">
        <v>0</v>
      </c>
      <c r="BL61" s="511"/>
      <c r="BM61" s="565">
        <v>126430</v>
      </c>
      <c r="BN61" s="565">
        <v>0</v>
      </c>
    </row>
    <row r="62" spans="1:66" ht="13.2" x14ac:dyDescent="0.25">
      <c r="A62" s="515" t="s">
        <v>614</v>
      </c>
      <c r="B62" s="517">
        <v>2185</v>
      </c>
      <c r="C62" s="517" t="s">
        <v>219</v>
      </c>
      <c r="D62" s="517" t="s">
        <v>36</v>
      </c>
      <c r="E62" s="518" t="s">
        <v>673</v>
      </c>
      <c r="F62" s="540"/>
      <c r="G62" s="540"/>
      <c r="H62" s="540"/>
      <c r="I62" s="540">
        <v>6685.7858333333334</v>
      </c>
      <c r="J62" s="540">
        <v>7446.8343333333332</v>
      </c>
      <c r="K62" s="540">
        <v>16099.082166666669</v>
      </c>
      <c r="L62" s="541">
        <v>0</v>
      </c>
      <c r="M62" s="541" t="s">
        <v>1476</v>
      </c>
      <c r="N62" s="541">
        <v>0</v>
      </c>
      <c r="O62" s="541">
        <v>0</v>
      </c>
      <c r="P62" s="541">
        <v>0</v>
      </c>
      <c r="Q62" s="541">
        <v>0</v>
      </c>
      <c r="R62" s="541">
        <v>0</v>
      </c>
      <c r="S62" s="542" t="s">
        <v>1476</v>
      </c>
      <c r="T62" s="541">
        <v>34461.25</v>
      </c>
      <c r="U62" s="541">
        <v>34461.25</v>
      </c>
      <c r="V62" s="541">
        <v>35133.75</v>
      </c>
      <c r="W62" s="541">
        <v>36478.75</v>
      </c>
      <c r="X62" s="543" t="s">
        <v>1476</v>
      </c>
      <c r="Y62" s="541">
        <v>0</v>
      </c>
      <c r="Z62" s="541">
        <v>19618</v>
      </c>
      <c r="AA62" s="541">
        <v>0</v>
      </c>
      <c r="AB62" s="541">
        <v>0</v>
      </c>
      <c r="AC62" s="541">
        <v>0</v>
      </c>
      <c r="AD62" s="541">
        <v>0</v>
      </c>
      <c r="AE62" s="541">
        <v>0</v>
      </c>
      <c r="AF62" s="541">
        <v>0</v>
      </c>
      <c r="AG62" s="541">
        <v>0</v>
      </c>
      <c r="AH62" s="541">
        <v>60762</v>
      </c>
      <c r="AI62" s="541">
        <v>5580</v>
      </c>
      <c r="AJ62" s="541">
        <v>1975</v>
      </c>
      <c r="AK62" s="541">
        <v>0</v>
      </c>
      <c r="AL62" s="541">
        <v>0</v>
      </c>
      <c r="AM62" s="541">
        <v>0</v>
      </c>
      <c r="AN62" s="541">
        <v>0</v>
      </c>
      <c r="AO62" s="541">
        <v>0</v>
      </c>
      <c r="AP62" s="541">
        <v>0</v>
      </c>
      <c r="AQ62" s="541">
        <v>0</v>
      </c>
      <c r="AR62" s="541">
        <v>1200</v>
      </c>
      <c r="AS62" s="541">
        <v>0</v>
      </c>
      <c r="AT62" s="543">
        <v>14100</v>
      </c>
      <c r="AU62" s="541">
        <v>0</v>
      </c>
      <c r="AV62" s="541">
        <v>3307.5</v>
      </c>
      <c r="AW62" s="541">
        <v>0</v>
      </c>
      <c r="AX62" s="541">
        <v>7467.5</v>
      </c>
      <c r="AY62" s="541">
        <v>3425.625</v>
      </c>
      <c r="AZ62" s="541">
        <v>0</v>
      </c>
      <c r="BA62" s="541">
        <v>0</v>
      </c>
      <c r="BB62" s="541">
        <v>0</v>
      </c>
      <c r="BC62" s="544">
        <v>288202.32733333332</v>
      </c>
      <c r="BD62" s="544">
        <v>288202.32733333332</v>
      </c>
      <c r="BE62" s="511"/>
      <c r="BF62" s="565">
        <v>257970.625</v>
      </c>
      <c r="BG62" s="565">
        <v>30231.702333333335</v>
      </c>
      <c r="BH62" s="565">
        <v>0</v>
      </c>
      <c r="BI62" s="565">
        <v>0</v>
      </c>
      <c r="BJ62" s="565">
        <v>288202.32733333332</v>
      </c>
      <c r="BK62" s="565">
        <v>0</v>
      </c>
      <c r="BL62" s="511"/>
      <c r="BM62" s="565">
        <v>140535</v>
      </c>
      <c r="BN62" s="565">
        <v>0</v>
      </c>
    </row>
    <row r="63" spans="1:66" ht="13.2" x14ac:dyDescent="0.25">
      <c r="A63" s="515" t="s">
        <v>616</v>
      </c>
      <c r="B63" s="517">
        <v>2054</v>
      </c>
      <c r="C63" s="517" t="s">
        <v>221</v>
      </c>
      <c r="D63" s="517" t="s">
        <v>107</v>
      </c>
      <c r="E63" s="518" t="s">
        <v>674</v>
      </c>
      <c r="F63" s="540"/>
      <c r="G63" s="540"/>
      <c r="H63" s="540"/>
      <c r="I63" s="540">
        <v>14195.854747030859</v>
      </c>
      <c r="J63" s="540">
        <v>17656</v>
      </c>
      <c r="K63" s="540">
        <v>31742</v>
      </c>
      <c r="L63" s="541">
        <v>4446.333333333333</v>
      </c>
      <c r="M63" s="541" t="s">
        <v>1476</v>
      </c>
      <c r="N63" s="541">
        <v>0</v>
      </c>
      <c r="O63" s="541">
        <v>0</v>
      </c>
      <c r="P63" s="541">
        <v>0</v>
      </c>
      <c r="Q63" s="541">
        <v>0</v>
      </c>
      <c r="R63" s="541">
        <v>0</v>
      </c>
      <c r="S63" s="542" t="s">
        <v>1476</v>
      </c>
      <c r="T63" s="541">
        <v>26968.75</v>
      </c>
      <c r="U63" s="541">
        <v>26968.75</v>
      </c>
      <c r="V63" s="541">
        <v>26968.75</v>
      </c>
      <c r="W63" s="541">
        <v>26968.75</v>
      </c>
      <c r="X63" s="543" t="s">
        <v>1476</v>
      </c>
      <c r="Y63" s="541">
        <v>0</v>
      </c>
      <c r="Z63" s="541">
        <v>18406</v>
      </c>
      <c r="AA63" s="541">
        <v>0</v>
      </c>
      <c r="AB63" s="541">
        <v>0</v>
      </c>
      <c r="AC63" s="541">
        <v>0</v>
      </c>
      <c r="AD63" s="541">
        <v>0</v>
      </c>
      <c r="AE63" s="541">
        <v>0</v>
      </c>
      <c r="AF63" s="541">
        <v>0</v>
      </c>
      <c r="AG63" s="541">
        <v>0</v>
      </c>
      <c r="AH63" s="541">
        <v>122395</v>
      </c>
      <c r="AI63" s="541">
        <v>6909</v>
      </c>
      <c r="AJ63" s="541">
        <v>2445</v>
      </c>
      <c r="AK63" s="541">
        <v>0</v>
      </c>
      <c r="AL63" s="541">
        <v>0</v>
      </c>
      <c r="AM63" s="541">
        <v>0</v>
      </c>
      <c r="AN63" s="541">
        <v>0</v>
      </c>
      <c r="AO63" s="541">
        <v>0</v>
      </c>
      <c r="AP63" s="541">
        <v>945</v>
      </c>
      <c r="AQ63" s="541">
        <v>0</v>
      </c>
      <c r="AR63" s="541">
        <v>1200</v>
      </c>
      <c r="AS63" s="541">
        <v>0</v>
      </c>
      <c r="AT63" s="543">
        <v>12030</v>
      </c>
      <c r="AU63" s="541">
        <v>0</v>
      </c>
      <c r="AV63" s="541">
        <v>2067.1875</v>
      </c>
      <c r="AW63" s="541">
        <v>0</v>
      </c>
      <c r="AX63" s="541">
        <v>5437.5</v>
      </c>
      <c r="AY63" s="541">
        <v>2067.1875</v>
      </c>
      <c r="AZ63" s="541">
        <v>0</v>
      </c>
      <c r="BA63" s="541">
        <v>0</v>
      </c>
      <c r="BB63" s="541">
        <v>0</v>
      </c>
      <c r="BC63" s="544">
        <v>349817.0630803642</v>
      </c>
      <c r="BD63" s="544">
        <v>349817.0630803642</v>
      </c>
      <c r="BE63" s="511"/>
      <c r="BF63" s="565">
        <v>281776.875</v>
      </c>
      <c r="BG63" s="565">
        <v>68040.188080364183</v>
      </c>
      <c r="BH63" s="565">
        <v>0</v>
      </c>
      <c r="BI63" s="565">
        <v>0</v>
      </c>
      <c r="BJ63" s="565">
        <v>349817.0630803642</v>
      </c>
      <c r="BK63" s="565">
        <v>0</v>
      </c>
      <c r="BL63" s="511"/>
      <c r="BM63" s="565">
        <v>107875</v>
      </c>
      <c r="BN63" s="565">
        <v>0</v>
      </c>
    </row>
    <row r="64" spans="1:66" ht="13.2" x14ac:dyDescent="0.25">
      <c r="A64" s="515" t="s">
        <v>616</v>
      </c>
      <c r="B64" s="517">
        <v>2053</v>
      </c>
      <c r="C64" s="517" t="s">
        <v>223</v>
      </c>
      <c r="D64" s="517" t="s">
        <v>107</v>
      </c>
      <c r="E64" s="518" t="s">
        <v>675</v>
      </c>
      <c r="F64" s="540"/>
      <c r="G64" s="540"/>
      <c r="H64" s="540"/>
      <c r="I64" s="540">
        <v>10212.141250000001</v>
      </c>
      <c r="J64" s="540">
        <v>9449.5396666666657</v>
      </c>
      <c r="K64" s="540">
        <v>10524.65725</v>
      </c>
      <c r="L64" s="541">
        <v>27393.666666666668</v>
      </c>
      <c r="M64" s="541" t="s">
        <v>1476</v>
      </c>
      <c r="N64" s="541">
        <v>0</v>
      </c>
      <c r="O64" s="541">
        <v>0</v>
      </c>
      <c r="P64" s="541">
        <v>0</v>
      </c>
      <c r="Q64" s="541">
        <v>0</v>
      </c>
      <c r="R64" s="541">
        <v>0</v>
      </c>
      <c r="S64" s="542" t="s">
        <v>1476</v>
      </c>
      <c r="T64" s="541">
        <v>38832.5</v>
      </c>
      <c r="U64" s="541">
        <v>38832.5</v>
      </c>
      <c r="V64" s="541">
        <v>38832.5</v>
      </c>
      <c r="W64" s="541">
        <v>38832.5</v>
      </c>
      <c r="X64" s="543" t="s">
        <v>1476</v>
      </c>
      <c r="Y64" s="541">
        <v>0</v>
      </c>
      <c r="Z64" s="541">
        <v>20777</v>
      </c>
      <c r="AA64" s="541">
        <v>0</v>
      </c>
      <c r="AB64" s="541">
        <v>0</v>
      </c>
      <c r="AC64" s="541">
        <v>0</v>
      </c>
      <c r="AD64" s="541">
        <v>0</v>
      </c>
      <c r="AE64" s="541">
        <v>0</v>
      </c>
      <c r="AF64" s="541">
        <v>0</v>
      </c>
      <c r="AG64" s="541">
        <v>0</v>
      </c>
      <c r="AH64" s="541">
        <v>0</v>
      </c>
      <c r="AI64" s="541">
        <v>0</v>
      </c>
      <c r="AJ64" s="541">
        <v>0</v>
      </c>
      <c r="AK64" s="541">
        <v>0</v>
      </c>
      <c r="AL64" s="541">
        <v>0</v>
      </c>
      <c r="AM64" s="541">
        <v>0</v>
      </c>
      <c r="AN64" s="541">
        <v>0</v>
      </c>
      <c r="AO64" s="541">
        <v>0</v>
      </c>
      <c r="AP64" s="541">
        <v>2604.5</v>
      </c>
      <c r="AQ64" s="541">
        <v>0</v>
      </c>
      <c r="AR64" s="541">
        <v>1200</v>
      </c>
      <c r="AS64" s="541">
        <v>0</v>
      </c>
      <c r="AT64" s="543">
        <v>16000</v>
      </c>
      <c r="AU64" s="541">
        <v>0</v>
      </c>
      <c r="AV64" s="541">
        <v>4016.2500000000005</v>
      </c>
      <c r="AW64" s="541">
        <v>0</v>
      </c>
      <c r="AX64" s="541">
        <v>8265</v>
      </c>
      <c r="AY64" s="541">
        <v>4016.2500000000005</v>
      </c>
      <c r="AZ64" s="541">
        <v>0</v>
      </c>
      <c r="BA64" s="541">
        <v>0</v>
      </c>
      <c r="BB64" s="541">
        <v>0</v>
      </c>
      <c r="BC64" s="544">
        <v>269789.00483333331</v>
      </c>
      <c r="BD64" s="544">
        <v>269789.00483333331</v>
      </c>
      <c r="BE64" s="511"/>
      <c r="BF64" s="565">
        <v>212209</v>
      </c>
      <c r="BG64" s="565">
        <v>57580.004833333332</v>
      </c>
      <c r="BH64" s="565">
        <v>0</v>
      </c>
      <c r="BI64" s="565">
        <v>0</v>
      </c>
      <c r="BJ64" s="565">
        <v>269789.00483333331</v>
      </c>
      <c r="BK64" s="565">
        <v>0</v>
      </c>
      <c r="BL64" s="511"/>
      <c r="BM64" s="565">
        <v>155330</v>
      </c>
      <c r="BN64" s="565">
        <v>0</v>
      </c>
    </row>
    <row r="65" spans="1:66" ht="13.2" x14ac:dyDescent="0.25">
      <c r="A65" s="515" t="s">
        <v>614</v>
      </c>
      <c r="B65" s="517">
        <v>2464</v>
      </c>
      <c r="C65" s="517" t="s">
        <v>225</v>
      </c>
      <c r="D65" s="517" t="s">
        <v>36</v>
      </c>
      <c r="E65" s="518" t="s">
        <v>676</v>
      </c>
      <c r="F65" s="540"/>
      <c r="G65" s="540"/>
      <c r="H65" s="540"/>
      <c r="I65" s="540">
        <v>1485.4166666666665</v>
      </c>
      <c r="J65" s="540">
        <v>0</v>
      </c>
      <c r="K65" s="540">
        <v>0</v>
      </c>
      <c r="L65" s="541">
        <v>0</v>
      </c>
      <c r="M65" s="541" t="s">
        <v>1476</v>
      </c>
      <c r="N65" s="541">
        <v>0</v>
      </c>
      <c r="O65" s="541">
        <v>0</v>
      </c>
      <c r="P65" s="541">
        <v>0</v>
      </c>
      <c r="Q65" s="541">
        <v>0</v>
      </c>
      <c r="R65" s="541">
        <v>0</v>
      </c>
      <c r="S65" s="542" t="s">
        <v>1476</v>
      </c>
      <c r="T65" s="541">
        <v>9242.5</v>
      </c>
      <c r="U65" s="541">
        <v>9242.5</v>
      </c>
      <c r="V65" s="541">
        <v>9242.5</v>
      </c>
      <c r="W65" s="541">
        <v>9242.5</v>
      </c>
      <c r="X65" s="543" t="s">
        <v>1476</v>
      </c>
      <c r="Y65" s="541">
        <v>0</v>
      </c>
      <c r="Z65" s="541">
        <v>19612</v>
      </c>
      <c r="AA65" s="541">
        <v>0</v>
      </c>
      <c r="AB65" s="541">
        <v>0</v>
      </c>
      <c r="AC65" s="541">
        <v>0</v>
      </c>
      <c r="AD65" s="541">
        <v>0</v>
      </c>
      <c r="AE65" s="541">
        <v>0</v>
      </c>
      <c r="AF65" s="541">
        <v>0</v>
      </c>
      <c r="AG65" s="541">
        <v>0</v>
      </c>
      <c r="AH65" s="541">
        <v>62911</v>
      </c>
      <c r="AI65" s="541">
        <v>0</v>
      </c>
      <c r="AJ65" s="541">
        <v>0</v>
      </c>
      <c r="AK65" s="541">
        <v>0</v>
      </c>
      <c r="AL65" s="541">
        <v>0</v>
      </c>
      <c r="AM65" s="541">
        <v>0</v>
      </c>
      <c r="AN65" s="541">
        <v>0</v>
      </c>
      <c r="AO65" s="541">
        <v>0</v>
      </c>
      <c r="AP65" s="541">
        <v>0</v>
      </c>
      <c r="AQ65" s="541">
        <v>0</v>
      </c>
      <c r="AR65" s="541">
        <v>0</v>
      </c>
      <c r="AS65" s="541">
        <v>0</v>
      </c>
      <c r="AT65" s="543">
        <v>13830</v>
      </c>
      <c r="AU65" s="541">
        <v>0</v>
      </c>
      <c r="AV65" s="541">
        <v>826.875</v>
      </c>
      <c r="AW65" s="541">
        <v>0</v>
      </c>
      <c r="AX65" s="541">
        <v>1885</v>
      </c>
      <c r="AY65" s="541">
        <v>826.875</v>
      </c>
      <c r="AZ65" s="541">
        <v>0</v>
      </c>
      <c r="BA65" s="541">
        <v>0</v>
      </c>
      <c r="BB65" s="541">
        <v>0</v>
      </c>
      <c r="BC65" s="544">
        <v>138347.16666666666</v>
      </c>
      <c r="BD65" s="544">
        <v>138347.16666666666</v>
      </c>
      <c r="BE65" s="511"/>
      <c r="BF65" s="565">
        <v>136861.75</v>
      </c>
      <c r="BG65" s="565">
        <v>1485.4166666666665</v>
      </c>
      <c r="BH65" s="565">
        <v>0</v>
      </c>
      <c r="BI65" s="565">
        <v>0</v>
      </c>
      <c r="BJ65" s="565">
        <v>138347.16666666666</v>
      </c>
      <c r="BK65" s="565">
        <v>0</v>
      </c>
      <c r="BL65" s="511"/>
      <c r="BM65" s="565">
        <v>36970</v>
      </c>
      <c r="BN65" s="565">
        <v>0</v>
      </c>
    </row>
    <row r="66" spans="1:66" ht="13.2" x14ac:dyDescent="0.25">
      <c r="A66" s="515" t="s">
        <v>618</v>
      </c>
      <c r="B66" s="517">
        <v>3320</v>
      </c>
      <c r="C66" s="517" t="s">
        <v>227</v>
      </c>
      <c r="D66" s="517" t="s">
        <v>36</v>
      </c>
      <c r="E66" s="518" t="s">
        <v>677</v>
      </c>
      <c r="F66" s="540"/>
      <c r="G66" s="540"/>
      <c r="H66" s="540"/>
      <c r="I66" s="540">
        <v>903.75</v>
      </c>
      <c r="J66" s="540">
        <v>4000</v>
      </c>
      <c r="K66" s="540">
        <v>12400</v>
      </c>
      <c r="L66" s="541">
        <v>0</v>
      </c>
      <c r="M66" s="541" t="s">
        <v>1476</v>
      </c>
      <c r="N66" s="541">
        <v>0</v>
      </c>
      <c r="O66" s="541">
        <v>0</v>
      </c>
      <c r="P66" s="541">
        <v>0</v>
      </c>
      <c r="Q66" s="541">
        <v>0</v>
      </c>
      <c r="R66" s="541">
        <v>0</v>
      </c>
      <c r="S66" s="542" t="s">
        <v>1476</v>
      </c>
      <c r="T66" s="541">
        <v>66577.5</v>
      </c>
      <c r="U66" s="541">
        <v>66577.5</v>
      </c>
      <c r="V66" s="541">
        <v>66577.5</v>
      </c>
      <c r="W66" s="541">
        <v>66577.5</v>
      </c>
      <c r="X66" s="543" t="s">
        <v>1476</v>
      </c>
      <c r="Y66" s="541">
        <v>0</v>
      </c>
      <c r="Z66" s="541">
        <v>19537</v>
      </c>
      <c r="AA66" s="541">
        <v>0</v>
      </c>
      <c r="AB66" s="541">
        <v>0</v>
      </c>
      <c r="AC66" s="541">
        <v>0</v>
      </c>
      <c r="AD66" s="541">
        <v>0</v>
      </c>
      <c r="AE66" s="541">
        <v>0</v>
      </c>
      <c r="AF66" s="541">
        <v>0</v>
      </c>
      <c r="AG66" s="541">
        <v>0</v>
      </c>
      <c r="AH66" s="541">
        <v>35216</v>
      </c>
      <c r="AI66" s="541">
        <v>0</v>
      </c>
      <c r="AJ66" s="541">
        <v>0</v>
      </c>
      <c r="AK66" s="541">
        <v>0</v>
      </c>
      <c r="AL66" s="541">
        <v>0</v>
      </c>
      <c r="AM66" s="541">
        <v>0</v>
      </c>
      <c r="AN66" s="541">
        <v>0</v>
      </c>
      <c r="AO66" s="541">
        <v>0</v>
      </c>
      <c r="AP66" s="541">
        <v>0</v>
      </c>
      <c r="AQ66" s="541">
        <v>0</v>
      </c>
      <c r="AR66" s="541">
        <v>0</v>
      </c>
      <c r="AS66" s="541">
        <v>0</v>
      </c>
      <c r="AT66" s="543">
        <v>13730</v>
      </c>
      <c r="AU66" s="541">
        <v>0</v>
      </c>
      <c r="AV66" s="541">
        <v>6437.8125</v>
      </c>
      <c r="AW66" s="541">
        <v>0</v>
      </c>
      <c r="AX66" s="541">
        <v>14355</v>
      </c>
      <c r="AY66" s="541">
        <v>6437.8125</v>
      </c>
      <c r="AZ66" s="541">
        <v>0</v>
      </c>
      <c r="BA66" s="541">
        <v>0</v>
      </c>
      <c r="BB66" s="541">
        <v>0</v>
      </c>
      <c r="BC66" s="544">
        <v>379327.375</v>
      </c>
      <c r="BD66" s="544">
        <v>379327.375</v>
      </c>
      <c r="BE66" s="511"/>
      <c r="BF66" s="565">
        <v>362023.625</v>
      </c>
      <c r="BG66" s="565">
        <v>17303.75</v>
      </c>
      <c r="BH66" s="565">
        <v>0</v>
      </c>
      <c r="BI66" s="565">
        <v>0</v>
      </c>
      <c r="BJ66" s="565">
        <v>379327.375</v>
      </c>
      <c r="BK66" s="565">
        <v>0</v>
      </c>
      <c r="BL66" s="511"/>
      <c r="BM66" s="565">
        <v>266310</v>
      </c>
      <c r="BN66" s="565">
        <v>0</v>
      </c>
    </row>
    <row r="67" spans="1:66" ht="13.2" x14ac:dyDescent="0.25">
      <c r="A67" s="515" t="s">
        <v>618</v>
      </c>
      <c r="B67" s="517">
        <v>2055</v>
      </c>
      <c r="C67" s="517" t="s">
        <v>229</v>
      </c>
      <c r="D67" s="517" t="s">
        <v>36</v>
      </c>
      <c r="E67" s="518" t="s">
        <v>678</v>
      </c>
      <c r="F67" s="540"/>
      <c r="G67" s="540"/>
      <c r="H67" s="540"/>
      <c r="I67" s="540">
        <v>6398.4691666666677</v>
      </c>
      <c r="J67" s="540">
        <v>8129.108666666667</v>
      </c>
      <c r="K67" s="540">
        <v>13640.581499999998</v>
      </c>
      <c r="L67" s="541">
        <v>0</v>
      </c>
      <c r="M67" s="541" t="s">
        <v>1476</v>
      </c>
      <c r="N67" s="541">
        <v>0</v>
      </c>
      <c r="O67" s="541">
        <v>0</v>
      </c>
      <c r="P67" s="541">
        <v>0</v>
      </c>
      <c r="Q67" s="541">
        <v>0</v>
      </c>
      <c r="R67" s="541">
        <v>0</v>
      </c>
      <c r="S67" s="542" t="s">
        <v>1476</v>
      </c>
      <c r="T67" s="541">
        <v>46143.75</v>
      </c>
      <c r="U67" s="541">
        <v>46143.75</v>
      </c>
      <c r="V67" s="541">
        <v>46143.75</v>
      </c>
      <c r="W67" s="541">
        <v>46143.75</v>
      </c>
      <c r="X67" s="543" t="s">
        <v>1476</v>
      </c>
      <c r="Y67" s="541">
        <v>0</v>
      </c>
      <c r="Z67" s="541">
        <v>19490</v>
      </c>
      <c r="AA67" s="541">
        <v>0</v>
      </c>
      <c r="AB67" s="541">
        <v>0</v>
      </c>
      <c r="AC67" s="541">
        <v>0</v>
      </c>
      <c r="AD67" s="541">
        <v>0</v>
      </c>
      <c r="AE67" s="541">
        <v>0</v>
      </c>
      <c r="AF67" s="541">
        <v>0</v>
      </c>
      <c r="AG67" s="541">
        <v>0</v>
      </c>
      <c r="AH67" s="541">
        <v>54946</v>
      </c>
      <c r="AI67" s="541">
        <v>2391</v>
      </c>
      <c r="AJ67" s="541">
        <v>847</v>
      </c>
      <c r="AK67" s="541">
        <v>0</v>
      </c>
      <c r="AL67" s="541">
        <v>0</v>
      </c>
      <c r="AM67" s="541">
        <v>0</v>
      </c>
      <c r="AN67" s="541">
        <v>0</v>
      </c>
      <c r="AO67" s="541">
        <v>0</v>
      </c>
      <c r="AP67" s="541">
        <v>0</v>
      </c>
      <c r="AQ67" s="541">
        <v>0</v>
      </c>
      <c r="AR67" s="541">
        <v>0</v>
      </c>
      <c r="AS67" s="541">
        <v>0</v>
      </c>
      <c r="AT67" s="543">
        <v>13730</v>
      </c>
      <c r="AU67" s="541">
        <v>0</v>
      </c>
      <c r="AV67" s="541">
        <v>4488.75</v>
      </c>
      <c r="AW67" s="541">
        <v>0</v>
      </c>
      <c r="AX67" s="541">
        <v>9932.5</v>
      </c>
      <c r="AY67" s="541">
        <v>4488.75</v>
      </c>
      <c r="AZ67" s="541">
        <v>0</v>
      </c>
      <c r="BA67" s="541">
        <v>0</v>
      </c>
      <c r="BB67" s="541">
        <v>0</v>
      </c>
      <c r="BC67" s="544">
        <v>323057.15933333331</v>
      </c>
      <c r="BD67" s="544">
        <v>323057.15933333331</v>
      </c>
      <c r="BE67" s="511"/>
      <c r="BF67" s="565">
        <v>294889</v>
      </c>
      <c r="BG67" s="565">
        <v>28168.159333333333</v>
      </c>
      <c r="BH67" s="565">
        <v>0</v>
      </c>
      <c r="BI67" s="565">
        <v>0</v>
      </c>
      <c r="BJ67" s="565">
        <v>323057.15933333331</v>
      </c>
      <c r="BK67" s="565">
        <v>0</v>
      </c>
      <c r="BL67" s="511"/>
      <c r="BM67" s="565">
        <v>184575</v>
      </c>
      <c r="BN67" s="565">
        <v>0</v>
      </c>
    </row>
    <row r="68" spans="1:66" ht="13.2" x14ac:dyDescent="0.25">
      <c r="A68" s="515" t="s">
        <v>618</v>
      </c>
      <c r="B68" s="517">
        <v>2191</v>
      </c>
      <c r="C68" s="517" t="s">
        <v>231</v>
      </c>
      <c r="D68" s="517" t="s">
        <v>36</v>
      </c>
      <c r="E68" s="518" t="s">
        <v>679</v>
      </c>
      <c r="F68" s="540"/>
      <c r="G68" s="540"/>
      <c r="H68" s="540"/>
      <c r="I68" s="540">
        <v>0</v>
      </c>
      <c r="J68" s="540">
        <v>2600</v>
      </c>
      <c r="K68" s="540">
        <v>3200</v>
      </c>
      <c r="L68" s="541">
        <v>0</v>
      </c>
      <c r="M68" s="541" t="s">
        <v>1476</v>
      </c>
      <c r="N68" s="541">
        <v>0</v>
      </c>
      <c r="O68" s="541">
        <v>0</v>
      </c>
      <c r="P68" s="541">
        <v>0</v>
      </c>
      <c r="Q68" s="541">
        <v>0</v>
      </c>
      <c r="R68" s="541">
        <v>0</v>
      </c>
      <c r="S68" s="542" t="s">
        <v>1476</v>
      </c>
      <c r="T68" s="541">
        <v>43876.25</v>
      </c>
      <c r="U68" s="541">
        <v>43876.25</v>
      </c>
      <c r="V68" s="541">
        <v>43203.75</v>
      </c>
      <c r="W68" s="541">
        <v>41858.75</v>
      </c>
      <c r="X68" s="543" t="s">
        <v>1476</v>
      </c>
      <c r="Y68" s="541">
        <v>0</v>
      </c>
      <c r="Z68" s="541">
        <v>17826</v>
      </c>
      <c r="AA68" s="541">
        <v>0</v>
      </c>
      <c r="AB68" s="541">
        <v>0</v>
      </c>
      <c r="AC68" s="541">
        <v>0</v>
      </c>
      <c r="AD68" s="541">
        <v>0</v>
      </c>
      <c r="AE68" s="541">
        <v>0</v>
      </c>
      <c r="AF68" s="541">
        <v>0</v>
      </c>
      <c r="AG68" s="541">
        <v>0</v>
      </c>
      <c r="AH68" s="541">
        <v>15747</v>
      </c>
      <c r="AI68" s="541">
        <v>3322</v>
      </c>
      <c r="AJ68" s="541">
        <v>1176</v>
      </c>
      <c r="AK68" s="541">
        <v>0</v>
      </c>
      <c r="AL68" s="541">
        <v>0</v>
      </c>
      <c r="AM68" s="541">
        <v>0</v>
      </c>
      <c r="AN68" s="541">
        <v>0</v>
      </c>
      <c r="AO68" s="541">
        <v>0</v>
      </c>
      <c r="AP68" s="541">
        <v>3107</v>
      </c>
      <c r="AQ68" s="541">
        <v>0</v>
      </c>
      <c r="AR68" s="541">
        <v>0</v>
      </c>
      <c r="AS68" s="541">
        <v>0</v>
      </c>
      <c r="AT68" s="543">
        <v>7100</v>
      </c>
      <c r="AU68" s="541">
        <v>0</v>
      </c>
      <c r="AV68" s="541">
        <v>4016.2500000000005</v>
      </c>
      <c r="AW68" s="541">
        <v>0</v>
      </c>
      <c r="AX68" s="541">
        <v>9207.5</v>
      </c>
      <c r="AY68" s="541">
        <v>3898.1250000000005</v>
      </c>
      <c r="AZ68" s="541">
        <v>0</v>
      </c>
      <c r="BA68" s="541">
        <v>0</v>
      </c>
      <c r="BB68" s="541">
        <v>0</v>
      </c>
      <c r="BC68" s="544">
        <v>244014.875</v>
      </c>
      <c r="BD68" s="544">
        <v>244014.875</v>
      </c>
      <c r="BE68" s="511"/>
      <c r="BF68" s="565">
        <v>238214.875</v>
      </c>
      <c r="BG68" s="565">
        <v>5800</v>
      </c>
      <c r="BH68" s="565">
        <v>0</v>
      </c>
      <c r="BI68" s="565">
        <v>0</v>
      </c>
      <c r="BJ68" s="565">
        <v>244014.875</v>
      </c>
      <c r="BK68" s="565">
        <v>0</v>
      </c>
      <c r="BL68" s="511"/>
      <c r="BM68" s="565">
        <v>172815</v>
      </c>
      <c r="BN68" s="565">
        <v>0</v>
      </c>
    </row>
    <row r="69" spans="1:66" ht="13.2" x14ac:dyDescent="0.25">
      <c r="A69" s="515" t="s">
        <v>618</v>
      </c>
      <c r="B69" s="517">
        <v>2284</v>
      </c>
      <c r="C69" s="517" t="s">
        <v>233</v>
      </c>
      <c r="D69" s="517" t="s">
        <v>36</v>
      </c>
      <c r="E69" s="518" t="s">
        <v>680</v>
      </c>
      <c r="F69" s="540"/>
      <c r="G69" s="540"/>
      <c r="H69" s="540"/>
      <c r="I69" s="540">
        <v>0</v>
      </c>
      <c r="J69" s="540">
        <v>2785.3333333333335</v>
      </c>
      <c r="K69" s="540">
        <v>11838</v>
      </c>
      <c r="L69" s="541">
        <v>0</v>
      </c>
      <c r="M69" s="541" t="s">
        <v>1476</v>
      </c>
      <c r="N69" s="541">
        <v>0</v>
      </c>
      <c r="O69" s="541">
        <v>0</v>
      </c>
      <c r="P69" s="541">
        <v>0</v>
      </c>
      <c r="Q69" s="541">
        <v>0</v>
      </c>
      <c r="R69" s="541">
        <v>0</v>
      </c>
      <c r="S69" s="542" t="s">
        <v>1476</v>
      </c>
      <c r="T69" s="541">
        <v>28245</v>
      </c>
      <c r="U69" s="541">
        <v>28245</v>
      </c>
      <c r="V69" s="541">
        <v>28245</v>
      </c>
      <c r="W69" s="541">
        <v>28245</v>
      </c>
      <c r="X69" s="543" t="s">
        <v>1476</v>
      </c>
      <c r="Y69" s="541">
        <v>0</v>
      </c>
      <c r="Z69" s="541">
        <v>17787</v>
      </c>
      <c r="AA69" s="541">
        <v>0</v>
      </c>
      <c r="AB69" s="541">
        <v>0</v>
      </c>
      <c r="AC69" s="541">
        <v>0</v>
      </c>
      <c r="AD69" s="541">
        <v>0</v>
      </c>
      <c r="AE69" s="541">
        <v>0</v>
      </c>
      <c r="AF69" s="541">
        <v>0</v>
      </c>
      <c r="AG69" s="541">
        <v>0</v>
      </c>
      <c r="AH69" s="541">
        <v>19914</v>
      </c>
      <c r="AI69" s="541">
        <v>0</v>
      </c>
      <c r="AJ69" s="541">
        <v>0</v>
      </c>
      <c r="AK69" s="541">
        <v>0</v>
      </c>
      <c r="AL69" s="541">
        <v>0</v>
      </c>
      <c r="AM69" s="541">
        <v>0</v>
      </c>
      <c r="AN69" s="541">
        <v>0</v>
      </c>
      <c r="AO69" s="541">
        <v>0</v>
      </c>
      <c r="AP69" s="541">
        <v>0</v>
      </c>
      <c r="AQ69" s="541">
        <v>0</v>
      </c>
      <c r="AR69" s="541">
        <v>0</v>
      </c>
      <c r="AS69" s="541">
        <v>0</v>
      </c>
      <c r="AT69" s="543">
        <v>6860</v>
      </c>
      <c r="AU69" s="541">
        <v>0</v>
      </c>
      <c r="AV69" s="541">
        <v>2598.75</v>
      </c>
      <c r="AW69" s="541">
        <v>0</v>
      </c>
      <c r="AX69" s="541">
        <v>6090</v>
      </c>
      <c r="AY69" s="541">
        <v>2598.75</v>
      </c>
      <c r="AZ69" s="541">
        <v>0</v>
      </c>
      <c r="BA69" s="541">
        <v>0</v>
      </c>
      <c r="BB69" s="541">
        <v>0</v>
      </c>
      <c r="BC69" s="544">
        <v>183451.83333333334</v>
      </c>
      <c r="BD69" s="544">
        <v>183451.83333333334</v>
      </c>
      <c r="BE69" s="511"/>
      <c r="BF69" s="565">
        <v>168828.5</v>
      </c>
      <c r="BG69" s="565">
        <v>14623.333333333334</v>
      </c>
      <c r="BH69" s="565">
        <v>0</v>
      </c>
      <c r="BI69" s="565">
        <v>0</v>
      </c>
      <c r="BJ69" s="565">
        <v>183451.83333333334</v>
      </c>
      <c r="BK69" s="565">
        <v>0</v>
      </c>
      <c r="BL69" s="511"/>
      <c r="BM69" s="565">
        <v>112980</v>
      </c>
      <c r="BN69" s="565">
        <v>0</v>
      </c>
    </row>
    <row r="70" spans="1:66" ht="13.2" x14ac:dyDescent="0.25">
      <c r="A70" s="515" t="s">
        <v>618</v>
      </c>
      <c r="B70" s="517">
        <v>2454</v>
      </c>
      <c r="C70" s="517" t="s">
        <v>235</v>
      </c>
      <c r="D70" s="517" t="s">
        <v>36</v>
      </c>
      <c r="E70" s="518" t="s">
        <v>681</v>
      </c>
      <c r="F70" s="540"/>
      <c r="G70" s="540"/>
      <c r="H70" s="540"/>
      <c r="I70" s="540">
        <v>15169.166666666668</v>
      </c>
      <c r="J70" s="540">
        <v>2234</v>
      </c>
      <c r="K70" s="540">
        <v>0</v>
      </c>
      <c r="L70" s="541">
        <v>0</v>
      </c>
      <c r="M70" s="541" t="s">
        <v>1476</v>
      </c>
      <c r="N70" s="541">
        <v>0</v>
      </c>
      <c r="O70" s="541">
        <v>0</v>
      </c>
      <c r="P70" s="541">
        <v>0</v>
      </c>
      <c r="Q70" s="541">
        <v>0</v>
      </c>
      <c r="R70" s="541">
        <v>0</v>
      </c>
      <c r="S70" s="542" t="s">
        <v>1476</v>
      </c>
      <c r="T70" s="541">
        <v>70931.25</v>
      </c>
      <c r="U70" s="541">
        <v>70931.25</v>
      </c>
      <c r="V70" s="541">
        <v>70931.25</v>
      </c>
      <c r="W70" s="541">
        <v>70931.25</v>
      </c>
      <c r="X70" s="543" t="s">
        <v>1476</v>
      </c>
      <c r="Y70" s="541">
        <v>0</v>
      </c>
      <c r="Z70" s="541">
        <v>19000</v>
      </c>
      <c r="AA70" s="541">
        <v>0</v>
      </c>
      <c r="AB70" s="541">
        <v>0</v>
      </c>
      <c r="AC70" s="541">
        <v>0</v>
      </c>
      <c r="AD70" s="541">
        <v>0</v>
      </c>
      <c r="AE70" s="541">
        <v>0</v>
      </c>
      <c r="AF70" s="541">
        <v>0</v>
      </c>
      <c r="AG70" s="541">
        <v>0</v>
      </c>
      <c r="AH70" s="541">
        <v>13320</v>
      </c>
      <c r="AI70" s="541">
        <v>3189</v>
      </c>
      <c r="AJ70" s="541">
        <v>1128</v>
      </c>
      <c r="AK70" s="541">
        <v>0</v>
      </c>
      <c r="AL70" s="541">
        <v>0</v>
      </c>
      <c r="AM70" s="541">
        <v>0</v>
      </c>
      <c r="AN70" s="541">
        <v>0</v>
      </c>
      <c r="AO70" s="541">
        <v>0</v>
      </c>
      <c r="AP70" s="541">
        <v>0</v>
      </c>
      <c r="AQ70" s="541">
        <v>0</v>
      </c>
      <c r="AR70" s="541">
        <v>0</v>
      </c>
      <c r="AS70" s="541">
        <v>0</v>
      </c>
      <c r="AT70" s="543">
        <v>11300</v>
      </c>
      <c r="AU70" s="541">
        <v>0</v>
      </c>
      <c r="AV70" s="541">
        <v>6733.125</v>
      </c>
      <c r="AW70" s="541">
        <v>0</v>
      </c>
      <c r="AX70" s="541">
        <v>14862.5</v>
      </c>
      <c r="AY70" s="541">
        <v>6733.125</v>
      </c>
      <c r="AZ70" s="541">
        <v>0</v>
      </c>
      <c r="BA70" s="541">
        <v>0</v>
      </c>
      <c r="BB70" s="541">
        <v>0</v>
      </c>
      <c r="BC70" s="544">
        <v>377393.91666666669</v>
      </c>
      <c r="BD70" s="544">
        <v>377393.91666666669</v>
      </c>
      <c r="BE70" s="511"/>
      <c r="BF70" s="565">
        <v>359990.75</v>
      </c>
      <c r="BG70" s="565">
        <v>17403.166666666668</v>
      </c>
      <c r="BH70" s="565">
        <v>0</v>
      </c>
      <c r="BI70" s="565">
        <v>0</v>
      </c>
      <c r="BJ70" s="565">
        <v>377393.91666666669</v>
      </c>
      <c r="BK70" s="565">
        <v>0</v>
      </c>
      <c r="BL70" s="511"/>
      <c r="BM70" s="565">
        <v>283725</v>
      </c>
      <c r="BN70" s="565">
        <v>0</v>
      </c>
    </row>
    <row r="71" spans="1:66" ht="13.2" x14ac:dyDescent="0.25">
      <c r="A71" s="515" t="s">
        <v>614</v>
      </c>
      <c r="B71" s="517">
        <v>3321</v>
      </c>
      <c r="C71" s="517" t="s">
        <v>237</v>
      </c>
      <c r="D71" s="517" t="s">
        <v>36</v>
      </c>
      <c r="E71" s="518" t="s">
        <v>682</v>
      </c>
      <c r="F71" s="540"/>
      <c r="G71" s="540"/>
      <c r="H71" s="540"/>
      <c r="I71" s="540">
        <v>12815</v>
      </c>
      <c r="J71" s="540">
        <v>3510.6666666666665</v>
      </c>
      <c r="K71" s="540">
        <v>9988.4979999999996</v>
      </c>
      <c r="L71" s="541">
        <v>0</v>
      </c>
      <c r="M71" s="541" t="s">
        <v>1476</v>
      </c>
      <c r="N71" s="541">
        <v>0</v>
      </c>
      <c r="O71" s="541">
        <v>0</v>
      </c>
      <c r="P71" s="541">
        <v>0</v>
      </c>
      <c r="Q71" s="541">
        <v>0</v>
      </c>
      <c r="R71" s="541">
        <v>0</v>
      </c>
      <c r="S71" s="542" t="s">
        <v>1476</v>
      </c>
      <c r="T71" s="541">
        <v>40686.25</v>
      </c>
      <c r="U71" s="541">
        <v>40686.25</v>
      </c>
      <c r="V71" s="541">
        <v>40686.25</v>
      </c>
      <c r="W71" s="541">
        <v>40686.25</v>
      </c>
      <c r="X71" s="543" t="s">
        <v>1476</v>
      </c>
      <c r="Y71" s="541">
        <v>0</v>
      </c>
      <c r="Z71" s="541">
        <v>19491</v>
      </c>
      <c r="AA71" s="541">
        <v>0</v>
      </c>
      <c r="AB71" s="541">
        <v>0</v>
      </c>
      <c r="AC71" s="541">
        <v>0</v>
      </c>
      <c r="AD71" s="541">
        <v>0</v>
      </c>
      <c r="AE71" s="541">
        <v>0</v>
      </c>
      <c r="AF71" s="541">
        <v>0</v>
      </c>
      <c r="AG71" s="541">
        <v>0</v>
      </c>
      <c r="AH71" s="541">
        <v>39311</v>
      </c>
      <c r="AI71" s="541">
        <v>0</v>
      </c>
      <c r="AJ71" s="541">
        <v>0</v>
      </c>
      <c r="AK71" s="541">
        <v>0</v>
      </c>
      <c r="AL71" s="541">
        <v>0</v>
      </c>
      <c r="AM71" s="541">
        <v>0</v>
      </c>
      <c r="AN71" s="541">
        <v>0</v>
      </c>
      <c r="AO71" s="541">
        <v>0</v>
      </c>
      <c r="AP71" s="541">
        <v>0</v>
      </c>
      <c r="AQ71" s="541">
        <v>0</v>
      </c>
      <c r="AR71" s="541">
        <v>0</v>
      </c>
      <c r="AS71" s="541">
        <v>0</v>
      </c>
      <c r="AT71" s="543">
        <v>12860</v>
      </c>
      <c r="AU71" s="541">
        <v>0</v>
      </c>
      <c r="AV71" s="541">
        <v>3780.0000000000005</v>
      </c>
      <c r="AW71" s="541">
        <v>0</v>
      </c>
      <c r="AX71" s="541">
        <v>8772.5</v>
      </c>
      <c r="AY71" s="541">
        <v>3780.0000000000005</v>
      </c>
      <c r="AZ71" s="541">
        <v>0</v>
      </c>
      <c r="BA71" s="541">
        <v>0</v>
      </c>
      <c r="BB71" s="541">
        <v>0</v>
      </c>
      <c r="BC71" s="544">
        <v>277053.66466666665</v>
      </c>
      <c r="BD71" s="544">
        <v>277053.66466666665</v>
      </c>
      <c r="BE71" s="511"/>
      <c r="BF71" s="565">
        <v>250739.5</v>
      </c>
      <c r="BG71" s="565">
        <v>26314.164666666664</v>
      </c>
      <c r="BH71" s="565">
        <v>0</v>
      </c>
      <c r="BI71" s="565">
        <v>0</v>
      </c>
      <c r="BJ71" s="565">
        <v>277053.66466666665</v>
      </c>
      <c r="BK71" s="565">
        <v>0</v>
      </c>
      <c r="BL71" s="511"/>
      <c r="BM71" s="565">
        <v>162745</v>
      </c>
      <c r="BN71" s="565">
        <v>0</v>
      </c>
    </row>
    <row r="72" spans="1:66" ht="13.2" x14ac:dyDescent="0.25">
      <c r="A72" s="515" t="s">
        <v>618</v>
      </c>
      <c r="B72" s="517">
        <v>2294</v>
      </c>
      <c r="C72" s="517" t="s">
        <v>239</v>
      </c>
      <c r="D72" s="517" t="s">
        <v>36</v>
      </c>
      <c r="E72" s="518" t="s">
        <v>683</v>
      </c>
      <c r="F72" s="540"/>
      <c r="G72" s="540"/>
      <c r="H72" s="540"/>
      <c r="I72" s="540">
        <v>9750.6995815151495</v>
      </c>
      <c r="J72" s="540">
        <v>10595.892998545452</v>
      </c>
      <c r="K72" s="540">
        <v>13498.258333333335</v>
      </c>
      <c r="L72" s="541">
        <v>0</v>
      </c>
      <c r="M72" s="541" t="s">
        <v>1476</v>
      </c>
      <c r="N72" s="541">
        <v>0</v>
      </c>
      <c r="O72" s="541">
        <v>0</v>
      </c>
      <c r="P72" s="541">
        <v>0</v>
      </c>
      <c r="Q72" s="541">
        <v>0</v>
      </c>
      <c r="R72" s="541">
        <v>0</v>
      </c>
      <c r="S72" s="542" t="s">
        <v>1476</v>
      </c>
      <c r="T72" s="541">
        <v>56403.75</v>
      </c>
      <c r="U72" s="541">
        <v>56403.75</v>
      </c>
      <c r="V72" s="541">
        <v>56067.5</v>
      </c>
      <c r="W72" s="541">
        <v>55395</v>
      </c>
      <c r="X72" s="543" t="s">
        <v>1476</v>
      </c>
      <c r="Y72" s="541">
        <v>0</v>
      </c>
      <c r="Z72" s="541">
        <v>19494</v>
      </c>
      <c r="AA72" s="541">
        <v>0</v>
      </c>
      <c r="AB72" s="541">
        <v>0</v>
      </c>
      <c r="AC72" s="541">
        <v>0</v>
      </c>
      <c r="AD72" s="541">
        <v>0</v>
      </c>
      <c r="AE72" s="541">
        <v>0</v>
      </c>
      <c r="AF72" s="541">
        <v>0</v>
      </c>
      <c r="AG72" s="541">
        <v>0</v>
      </c>
      <c r="AH72" s="541">
        <v>40755</v>
      </c>
      <c r="AI72" s="541">
        <v>0</v>
      </c>
      <c r="AJ72" s="541">
        <v>0</v>
      </c>
      <c r="AK72" s="541">
        <v>0</v>
      </c>
      <c r="AL72" s="541">
        <v>0</v>
      </c>
      <c r="AM72" s="541">
        <v>0</v>
      </c>
      <c r="AN72" s="541">
        <v>0</v>
      </c>
      <c r="AO72" s="541">
        <v>0</v>
      </c>
      <c r="AP72" s="541">
        <v>0</v>
      </c>
      <c r="AQ72" s="541">
        <v>0</v>
      </c>
      <c r="AR72" s="541">
        <v>1200</v>
      </c>
      <c r="AS72" s="541">
        <v>0</v>
      </c>
      <c r="AT72" s="543">
        <v>13500</v>
      </c>
      <c r="AU72" s="541">
        <v>0</v>
      </c>
      <c r="AV72" s="541">
        <v>5256.5625</v>
      </c>
      <c r="AW72" s="541">
        <v>0</v>
      </c>
      <c r="AX72" s="541">
        <v>12035</v>
      </c>
      <c r="AY72" s="541">
        <v>5256.5625</v>
      </c>
      <c r="AZ72" s="541">
        <v>0</v>
      </c>
      <c r="BA72" s="541">
        <v>0</v>
      </c>
      <c r="BB72" s="541">
        <v>0</v>
      </c>
      <c r="BC72" s="544">
        <v>355611.97591339395</v>
      </c>
      <c r="BD72" s="544">
        <v>355611.97591339395</v>
      </c>
      <c r="BE72" s="511"/>
      <c r="BF72" s="565">
        <v>321767.125</v>
      </c>
      <c r="BG72" s="565">
        <v>33844.850913393937</v>
      </c>
      <c r="BH72" s="565">
        <v>0</v>
      </c>
      <c r="BI72" s="565">
        <v>0</v>
      </c>
      <c r="BJ72" s="565">
        <v>355611.97591339395</v>
      </c>
      <c r="BK72" s="565">
        <v>0</v>
      </c>
      <c r="BL72" s="511"/>
      <c r="BM72" s="565">
        <v>224270</v>
      </c>
      <c r="BN72" s="565">
        <v>0</v>
      </c>
    </row>
    <row r="73" spans="1:66" ht="13.2" x14ac:dyDescent="0.25">
      <c r="A73" s="515" t="s">
        <v>618</v>
      </c>
      <c r="B73" s="517">
        <v>2486</v>
      </c>
      <c r="C73" s="517" t="s">
        <v>243</v>
      </c>
      <c r="D73" s="517" t="s">
        <v>36</v>
      </c>
      <c r="E73" s="518" t="s">
        <v>684</v>
      </c>
      <c r="F73" s="540"/>
      <c r="G73" s="540"/>
      <c r="H73" s="540"/>
      <c r="I73" s="540">
        <v>3414.7633333333333</v>
      </c>
      <c r="J73" s="540">
        <v>10731.810666666666</v>
      </c>
      <c r="K73" s="540">
        <v>10048.858</v>
      </c>
      <c r="L73" s="541">
        <v>10146.666666666666</v>
      </c>
      <c r="M73" s="541" t="s">
        <v>1476</v>
      </c>
      <c r="N73" s="541">
        <v>0</v>
      </c>
      <c r="O73" s="541">
        <v>0</v>
      </c>
      <c r="P73" s="541">
        <v>0</v>
      </c>
      <c r="Q73" s="541">
        <v>0</v>
      </c>
      <c r="R73" s="541">
        <v>0</v>
      </c>
      <c r="S73" s="542" t="s">
        <v>1476</v>
      </c>
      <c r="T73" s="541">
        <v>44367.5</v>
      </c>
      <c r="U73" s="541">
        <v>44367.5</v>
      </c>
      <c r="V73" s="541">
        <v>44367.5</v>
      </c>
      <c r="W73" s="541">
        <v>44367.5</v>
      </c>
      <c r="X73" s="543" t="s">
        <v>1476</v>
      </c>
      <c r="Y73" s="541">
        <v>0</v>
      </c>
      <c r="Z73" s="541">
        <v>17745</v>
      </c>
      <c r="AA73" s="541">
        <v>0</v>
      </c>
      <c r="AB73" s="541">
        <v>0</v>
      </c>
      <c r="AC73" s="541">
        <v>0</v>
      </c>
      <c r="AD73" s="541">
        <v>0</v>
      </c>
      <c r="AE73" s="541">
        <v>0</v>
      </c>
      <c r="AF73" s="541">
        <v>0</v>
      </c>
      <c r="AG73" s="541">
        <v>0</v>
      </c>
      <c r="AH73" s="541">
        <v>9356</v>
      </c>
      <c r="AI73" s="541">
        <v>2259</v>
      </c>
      <c r="AJ73" s="541">
        <v>799</v>
      </c>
      <c r="AK73" s="541">
        <v>0</v>
      </c>
      <c r="AL73" s="541">
        <v>0</v>
      </c>
      <c r="AM73" s="541">
        <v>0</v>
      </c>
      <c r="AN73" s="541">
        <v>0</v>
      </c>
      <c r="AO73" s="541">
        <v>0</v>
      </c>
      <c r="AP73" s="541">
        <v>0</v>
      </c>
      <c r="AQ73" s="541">
        <v>0</v>
      </c>
      <c r="AR73" s="541">
        <v>1200</v>
      </c>
      <c r="AS73" s="541">
        <v>0</v>
      </c>
      <c r="AT73" s="543">
        <v>6500</v>
      </c>
      <c r="AU73" s="541">
        <v>0</v>
      </c>
      <c r="AV73" s="541">
        <v>4016.2500000000005</v>
      </c>
      <c r="AW73" s="541">
        <v>0</v>
      </c>
      <c r="AX73" s="541">
        <v>9425</v>
      </c>
      <c r="AY73" s="541">
        <v>4016.2500000000005</v>
      </c>
      <c r="AZ73" s="541">
        <v>0</v>
      </c>
      <c r="BA73" s="541">
        <v>0</v>
      </c>
      <c r="BB73" s="541">
        <v>0</v>
      </c>
      <c r="BC73" s="544">
        <v>267128.59866666666</v>
      </c>
      <c r="BD73" s="544">
        <v>267128.59866666666</v>
      </c>
      <c r="BE73" s="511"/>
      <c r="BF73" s="565">
        <v>232786.5</v>
      </c>
      <c r="BG73" s="565">
        <v>34342.098666666665</v>
      </c>
      <c r="BH73" s="565">
        <v>0</v>
      </c>
      <c r="BI73" s="565">
        <v>0</v>
      </c>
      <c r="BJ73" s="565">
        <v>267128.59866666666</v>
      </c>
      <c r="BK73" s="565">
        <v>0</v>
      </c>
      <c r="BL73" s="511"/>
      <c r="BM73" s="565">
        <v>177470</v>
      </c>
      <c r="BN73" s="565">
        <v>0</v>
      </c>
    </row>
    <row r="74" spans="1:66" ht="13.2" x14ac:dyDescent="0.25">
      <c r="A74" s="515" t="s">
        <v>614</v>
      </c>
      <c r="B74" s="517">
        <v>3435</v>
      </c>
      <c r="C74" s="517" t="s">
        <v>241</v>
      </c>
      <c r="D74" s="517" t="s">
        <v>36</v>
      </c>
      <c r="E74" s="518" t="s">
        <v>685</v>
      </c>
      <c r="F74" s="540"/>
      <c r="G74" s="540"/>
      <c r="H74" s="540"/>
      <c r="I74" s="540">
        <v>2921.5125000000003</v>
      </c>
      <c r="J74" s="540">
        <v>7297.21</v>
      </c>
      <c r="K74" s="540">
        <v>7772.9075000000003</v>
      </c>
      <c r="L74" s="541">
        <v>3835</v>
      </c>
      <c r="M74" s="541" t="s">
        <v>1476</v>
      </c>
      <c r="N74" s="541">
        <v>0</v>
      </c>
      <c r="O74" s="541">
        <v>0</v>
      </c>
      <c r="P74" s="541">
        <v>0</v>
      </c>
      <c r="Q74" s="541">
        <v>0</v>
      </c>
      <c r="R74" s="541">
        <v>0</v>
      </c>
      <c r="S74" s="542" t="s">
        <v>1476</v>
      </c>
      <c r="T74" s="541">
        <v>10475</v>
      </c>
      <c r="U74" s="541">
        <v>10475</v>
      </c>
      <c r="V74" s="541">
        <v>10475</v>
      </c>
      <c r="W74" s="541">
        <v>10475</v>
      </c>
      <c r="X74" s="543" t="s">
        <v>1476</v>
      </c>
      <c r="Y74" s="541">
        <v>0</v>
      </c>
      <c r="Z74" s="541">
        <v>19610</v>
      </c>
      <c r="AA74" s="541">
        <v>0</v>
      </c>
      <c r="AB74" s="541">
        <v>0</v>
      </c>
      <c r="AC74" s="541">
        <v>0</v>
      </c>
      <c r="AD74" s="541">
        <v>0</v>
      </c>
      <c r="AE74" s="541">
        <v>0</v>
      </c>
      <c r="AF74" s="541">
        <v>0</v>
      </c>
      <c r="AG74" s="541">
        <v>0</v>
      </c>
      <c r="AH74" s="541">
        <v>75063</v>
      </c>
      <c r="AI74" s="541">
        <v>0</v>
      </c>
      <c r="AJ74" s="541">
        <v>0</v>
      </c>
      <c r="AK74" s="541">
        <v>0</v>
      </c>
      <c r="AL74" s="541">
        <v>0</v>
      </c>
      <c r="AM74" s="541">
        <v>0</v>
      </c>
      <c r="AN74" s="541">
        <v>0</v>
      </c>
      <c r="AO74" s="541">
        <v>0</v>
      </c>
      <c r="AP74" s="541">
        <v>0</v>
      </c>
      <c r="AQ74" s="541">
        <v>0</v>
      </c>
      <c r="AR74" s="541">
        <v>0</v>
      </c>
      <c r="AS74" s="541">
        <v>0</v>
      </c>
      <c r="AT74" s="543">
        <v>14030</v>
      </c>
      <c r="AU74" s="541">
        <v>0</v>
      </c>
      <c r="AV74" s="541">
        <v>885.9375</v>
      </c>
      <c r="AW74" s="541">
        <v>0</v>
      </c>
      <c r="AX74" s="541">
        <v>1885</v>
      </c>
      <c r="AY74" s="541">
        <v>885.9375</v>
      </c>
      <c r="AZ74" s="541">
        <v>0</v>
      </c>
      <c r="BA74" s="541">
        <v>0</v>
      </c>
      <c r="BB74" s="541">
        <v>0</v>
      </c>
      <c r="BC74" s="544">
        <v>176086.505</v>
      </c>
      <c r="BD74" s="544">
        <v>176086.505</v>
      </c>
      <c r="BE74" s="511"/>
      <c r="BF74" s="565">
        <v>154259.875</v>
      </c>
      <c r="BG74" s="565">
        <v>21826.63</v>
      </c>
      <c r="BH74" s="565">
        <v>0</v>
      </c>
      <c r="BI74" s="565">
        <v>0</v>
      </c>
      <c r="BJ74" s="565">
        <v>176086.505</v>
      </c>
      <c r="BK74" s="565">
        <v>0</v>
      </c>
      <c r="BL74" s="511"/>
      <c r="BM74" s="565">
        <v>41900</v>
      </c>
      <c r="BN74" s="565">
        <v>0</v>
      </c>
    </row>
    <row r="75" spans="1:66" ht="13.2" x14ac:dyDescent="0.25">
      <c r="A75" s="515" t="s">
        <v>618</v>
      </c>
      <c r="B75" s="517">
        <v>2079</v>
      </c>
      <c r="C75" s="517" t="s">
        <v>245</v>
      </c>
      <c r="D75" s="517" t="s">
        <v>36</v>
      </c>
      <c r="E75" s="518" t="s">
        <v>686</v>
      </c>
      <c r="F75" s="540"/>
      <c r="G75" s="540"/>
      <c r="H75" s="540"/>
      <c r="I75" s="540">
        <v>33145.611666666664</v>
      </c>
      <c r="J75" s="540">
        <v>24785.284</v>
      </c>
      <c r="K75" s="540">
        <v>18652.365000000002</v>
      </c>
      <c r="L75" s="541">
        <v>8726.3333333333339</v>
      </c>
      <c r="M75" s="541" t="s">
        <v>1476</v>
      </c>
      <c r="N75" s="541">
        <v>0</v>
      </c>
      <c r="O75" s="541">
        <v>0</v>
      </c>
      <c r="P75" s="541">
        <v>0</v>
      </c>
      <c r="Q75" s="541">
        <v>0</v>
      </c>
      <c r="R75" s="541">
        <v>0</v>
      </c>
      <c r="S75" s="542" t="s">
        <v>1476</v>
      </c>
      <c r="T75" s="541">
        <v>62542.5</v>
      </c>
      <c r="U75" s="541">
        <v>62542.5</v>
      </c>
      <c r="V75" s="541">
        <v>66577.5</v>
      </c>
      <c r="W75" s="541">
        <v>74647.5</v>
      </c>
      <c r="X75" s="543" t="s">
        <v>1476</v>
      </c>
      <c r="Y75" s="541">
        <v>0</v>
      </c>
      <c r="Z75" s="541">
        <v>19435</v>
      </c>
      <c r="AA75" s="541">
        <v>0</v>
      </c>
      <c r="AB75" s="541">
        <v>0</v>
      </c>
      <c r="AC75" s="541">
        <v>0</v>
      </c>
      <c r="AD75" s="541">
        <v>0</v>
      </c>
      <c r="AE75" s="541">
        <v>0</v>
      </c>
      <c r="AF75" s="541">
        <v>0</v>
      </c>
      <c r="AG75" s="541">
        <v>0</v>
      </c>
      <c r="AH75" s="541">
        <v>24861</v>
      </c>
      <c r="AI75" s="541">
        <v>0</v>
      </c>
      <c r="AJ75" s="541">
        <v>0</v>
      </c>
      <c r="AK75" s="541">
        <v>0</v>
      </c>
      <c r="AL75" s="541">
        <v>0</v>
      </c>
      <c r="AM75" s="541">
        <v>0</v>
      </c>
      <c r="AN75" s="541">
        <v>21678</v>
      </c>
      <c r="AO75" s="541">
        <v>0</v>
      </c>
      <c r="AP75" s="541">
        <v>0</v>
      </c>
      <c r="AQ75" s="541">
        <v>0</v>
      </c>
      <c r="AR75" s="541">
        <v>1200</v>
      </c>
      <c r="AS75" s="541">
        <v>0</v>
      </c>
      <c r="AT75" s="543">
        <v>12500</v>
      </c>
      <c r="AU75" s="541">
        <v>0</v>
      </c>
      <c r="AV75" s="541">
        <v>5729.0625</v>
      </c>
      <c r="AW75" s="541">
        <v>0</v>
      </c>
      <c r="AX75" s="541">
        <v>14355</v>
      </c>
      <c r="AY75" s="541">
        <v>6555.9375</v>
      </c>
      <c r="AZ75" s="541">
        <v>0</v>
      </c>
      <c r="BA75" s="541">
        <v>0</v>
      </c>
      <c r="BB75" s="541">
        <v>0</v>
      </c>
      <c r="BC75" s="544">
        <v>457933.59399999998</v>
      </c>
      <c r="BD75" s="544">
        <v>457933.59399999998</v>
      </c>
      <c r="BE75" s="511"/>
      <c r="BF75" s="565">
        <v>372624</v>
      </c>
      <c r="BG75" s="565">
        <v>85309.593999999997</v>
      </c>
      <c r="BH75" s="565">
        <v>0</v>
      </c>
      <c r="BI75" s="565">
        <v>0</v>
      </c>
      <c r="BJ75" s="565">
        <v>457933.59399999998</v>
      </c>
      <c r="BK75" s="565">
        <v>0</v>
      </c>
      <c r="BL75" s="511"/>
      <c r="BM75" s="565">
        <v>266310</v>
      </c>
      <c r="BN75" s="565">
        <v>0</v>
      </c>
    </row>
    <row r="76" spans="1:66" ht="13.2" x14ac:dyDescent="0.25">
      <c r="A76" s="515" t="s">
        <v>614</v>
      </c>
      <c r="B76" s="517">
        <v>2081</v>
      </c>
      <c r="C76" s="517" t="s">
        <v>247</v>
      </c>
      <c r="D76" s="517" t="s">
        <v>36</v>
      </c>
      <c r="E76" s="518" t="s">
        <v>687</v>
      </c>
      <c r="F76" s="540"/>
      <c r="G76" s="540"/>
      <c r="H76" s="540"/>
      <c r="I76" s="540">
        <v>12753.6175</v>
      </c>
      <c r="J76" s="540">
        <v>3379.2946666666667</v>
      </c>
      <c r="K76" s="540">
        <v>11977.467000000001</v>
      </c>
      <c r="L76" s="541">
        <v>4829</v>
      </c>
      <c r="M76" s="541" t="s">
        <v>1476</v>
      </c>
      <c r="N76" s="541">
        <v>0</v>
      </c>
      <c r="O76" s="541">
        <v>0</v>
      </c>
      <c r="P76" s="541">
        <v>0</v>
      </c>
      <c r="Q76" s="541">
        <v>0</v>
      </c>
      <c r="R76" s="541">
        <v>0</v>
      </c>
      <c r="S76" s="542" t="s">
        <v>1476</v>
      </c>
      <c r="T76" s="541">
        <v>44453.75</v>
      </c>
      <c r="U76" s="541">
        <v>44453.75</v>
      </c>
      <c r="V76" s="541">
        <v>44453.75</v>
      </c>
      <c r="W76" s="541">
        <v>44453.75</v>
      </c>
      <c r="X76" s="543" t="s">
        <v>1476</v>
      </c>
      <c r="Y76" s="541">
        <v>0</v>
      </c>
      <c r="Z76" s="541">
        <v>19537</v>
      </c>
      <c r="AA76" s="541">
        <v>0</v>
      </c>
      <c r="AB76" s="541">
        <v>0</v>
      </c>
      <c r="AC76" s="541">
        <v>0</v>
      </c>
      <c r="AD76" s="541">
        <v>0</v>
      </c>
      <c r="AE76" s="541">
        <v>0</v>
      </c>
      <c r="AF76" s="541">
        <v>0</v>
      </c>
      <c r="AG76" s="541">
        <v>0</v>
      </c>
      <c r="AH76" s="541">
        <v>38088</v>
      </c>
      <c r="AI76" s="541">
        <v>3322</v>
      </c>
      <c r="AJ76" s="541">
        <v>1176</v>
      </c>
      <c r="AK76" s="541">
        <v>0</v>
      </c>
      <c r="AL76" s="541">
        <v>0</v>
      </c>
      <c r="AM76" s="541">
        <v>0</v>
      </c>
      <c r="AN76" s="541">
        <v>0</v>
      </c>
      <c r="AO76" s="541">
        <v>0</v>
      </c>
      <c r="AP76" s="541">
        <v>0</v>
      </c>
      <c r="AQ76" s="541">
        <v>0</v>
      </c>
      <c r="AR76" s="541">
        <v>1200</v>
      </c>
      <c r="AS76" s="541">
        <v>271.27999999999997</v>
      </c>
      <c r="AT76" s="543">
        <v>13400</v>
      </c>
      <c r="AU76" s="541">
        <v>0</v>
      </c>
      <c r="AV76" s="541">
        <v>3957.1875000000005</v>
      </c>
      <c r="AW76" s="541">
        <v>0</v>
      </c>
      <c r="AX76" s="541">
        <v>9207.5</v>
      </c>
      <c r="AY76" s="541">
        <v>3957.1875000000005</v>
      </c>
      <c r="AZ76" s="541">
        <v>0</v>
      </c>
      <c r="BA76" s="541">
        <v>0</v>
      </c>
      <c r="BB76" s="541">
        <v>0</v>
      </c>
      <c r="BC76" s="544">
        <v>304870.53416666668</v>
      </c>
      <c r="BD76" s="544">
        <v>304870.53416666668</v>
      </c>
      <c r="BE76" s="511"/>
      <c r="BF76" s="565">
        <v>271931.15500000003</v>
      </c>
      <c r="BG76" s="565">
        <v>32939.379166666666</v>
      </c>
      <c r="BH76" s="565">
        <v>0</v>
      </c>
      <c r="BI76" s="565">
        <v>0</v>
      </c>
      <c r="BJ76" s="565">
        <v>304870.53416666668</v>
      </c>
      <c r="BK76" s="565">
        <v>0</v>
      </c>
      <c r="BL76" s="511"/>
      <c r="BM76" s="565">
        <v>177815</v>
      </c>
      <c r="BN76" s="565">
        <v>0</v>
      </c>
    </row>
    <row r="77" spans="1:66" ht="13.2" x14ac:dyDescent="0.25">
      <c r="A77" s="515" t="s">
        <v>688</v>
      </c>
      <c r="B77" s="517">
        <v>2296</v>
      </c>
      <c r="C77" s="517" t="s">
        <v>249</v>
      </c>
      <c r="D77" s="517" t="s">
        <v>107</v>
      </c>
      <c r="E77" s="518" t="s">
        <v>689</v>
      </c>
      <c r="F77" s="540"/>
      <c r="G77" s="540"/>
      <c r="H77" s="540"/>
      <c r="I77" s="540">
        <v>1020.9458333333333</v>
      </c>
      <c r="J77" s="540">
        <v>3000</v>
      </c>
      <c r="K77" s="540">
        <v>4250</v>
      </c>
      <c r="L77" s="541">
        <v>0</v>
      </c>
      <c r="M77" s="541" t="s">
        <v>1476</v>
      </c>
      <c r="N77" s="541">
        <v>0</v>
      </c>
      <c r="O77" s="541">
        <v>0</v>
      </c>
      <c r="P77" s="541">
        <v>0</v>
      </c>
      <c r="Q77" s="541">
        <v>0</v>
      </c>
      <c r="R77" s="541">
        <v>0</v>
      </c>
      <c r="S77" s="542" t="s">
        <v>1476</v>
      </c>
      <c r="T77" s="541">
        <v>39668.75</v>
      </c>
      <c r="U77" s="541">
        <v>39668.75</v>
      </c>
      <c r="V77" s="541">
        <v>38996.25</v>
      </c>
      <c r="W77" s="541">
        <v>37651.25</v>
      </c>
      <c r="X77" s="543" t="s">
        <v>1476</v>
      </c>
      <c r="Y77" s="541">
        <v>0</v>
      </c>
      <c r="Z77" s="541">
        <v>18919</v>
      </c>
      <c r="AA77" s="541">
        <v>0</v>
      </c>
      <c r="AB77" s="541">
        <v>0</v>
      </c>
      <c r="AC77" s="541">
        <v>0</v>
      </c>
      <c r="AD77" s="541">
        <v>0</v>
      </c>
      <c r="AE77" s="541">
        <v>0</v>
      </c>
      <c r="AF77" s="541">
        <v>0</v>
      </c>
      <c r="AG77" s="541">
        <v>0</v>
      </c>
      <c r="AH77" s="541">
        <v>26991</v>
      </c>
      <c r="AI77" s="541">
        <v>0</v>
      </c>
      <c r="AJ77" s="541">
        <v>0</v>
      </c>
      <c r="AK77" s="541">
        <v>0</v>
      </c>
      <c r="AL77" s="541">
        <v>0</v>
      </c>
      <c r="AM77" s="541">
        <v>0</v>
      </c>
      <c r="AN77" s="541">
        <v>0</v>
      </c>
      <c r="AO77" s="541">
        <v>0</v>
      </c>
      <c r="AP77" s="541">
        <v>1981</v>
      </c>
      <c r="AQ77" s="541">
        <v>0</v>
      </c>
      <c r="AR77" s="541">
        <v>0</v>
      </c>
      <c r="AS77" s="541">
        <v>221.38</v>
      </c>
      <c r="AT77" s="543">
        <v>10630</v>
      </c>
      <c r="AU77" s="541">
        <v>0</v>
      </c>
      <c r="AV77" s="541">
        <v>3780.0000000000005</v>
      </c>
      <c r="AW77" s="541">
        <v>0</v>
      </c>
      <c r="AX77" s="541">
        <v>8218</v>
      </c>
      <c r="AY77" s="541">
        <v>3661.8750000000005</v>
      </c>
      <c r="AZ77" s="541">
        <v>0</v>
      </c>
      <c r="BA77" s="541">
        <v>0</v>
      </c>
      <c r="BB77" s="541">
        <v>0</v>
      </c>
      <c r="BC77" s="544">
        <v>238658.20083333334</v>
      </c>
      <c r="BD77" s="544">
        <v>238658.20083333334</v>
      </c>
      <c r="BE77" s="511"/>
      <c r="BF77" s="565">
        <v>230387.255</v>
      </c>
      <c r="BG77" s="565">
        <v>8270.9458333333332</v>
      </c>
      <c r="BH77" s="565">
        <v>0</v>
      </c>
      <c r="BI77" s="565">
        <v>0</v>
      </c>
      <c r="BJ77" s="565">
        <v>238658.20083333334</v>
      </c>
      <c r="BK77" s="565">
        <v>0</v>
      </c>
      <c r="BL77" s="511"/>
      <c r="BM77" s="565">
        <v>155985</v>
      </c>
      <c r="BN77" s="565">
        <v>0</v>
      </c>
    </row>
    <row r="78" spans="1:66" ht="13.2" x14ac:dyDescent="0.25">
      <c r="A78" s="515" t="s">
        <v>618</v>
      </c>
      <c r="B78" s="517">
        <v>2087</v>
      </c>
      <c r="C78" s="517" t="s">
        <v>251</v>
      </c>
      <c r="D78" s="517" t="s">
        <v>36</v>
      </c>
      <c r="E78" s="518" t="s">
        <v>690</v>
      </c>
      <c r="F78" s="540"/>
      <c r="G78" s="540"/>
      <c r="H78" s="540"/>
      <c r="I78" s="540">
        <v>10101.858333333334</v>
      </c>
      <c r="J78" s="540">
        <v>9216.4026666666668</v>
      </c>
      <c r="K78" s="540">
        <v>29357.05</v>
      </c>
      <c r="L78" s="541">
        <v>11364.666666666666</v>
      </c>
      <c r="M78" s="541" t="s">
        <v>1476</v>
      </c>
      <c r="N78" s="541">
        <v>0</v>
      </c>
      <c r="O78" s="541">
        <v>0</v>
      </c>
      <c r="P78" s="541">
        <v>0</v>
      </c>
      <c r="Q78" s="541">
        <v>0</v>
      </c>
      <c r="R78" s="541">
        <v>0</v>
      </c>
      <c r="S78" s="542" t="s">
        <v>1476</v>
      </c>
      <c r="T78" s="541">
        <v>65905</v>
      </c>
      <c r="U78" s="541">
        <v>65905</v>
      </c>
      <c r="V78" s="541">
        <v>65905</v>
      </c>
      <c r="W78" s="541">
        <v>65905</v>
      </c>
      <c r="X78" s="543" t="s">
        <v>1476</v>
      </c>
      <c r="Y78" s="541">
        <v>0</v>
      </c>
      <c r="Z78" s="541">
        <v>19099</v>
      </c>
      <c r="AA78" s="541">
        <v>0</v>
      </c>
      <c r="AB78" s="541">
        <v>0</v>
      </c>
      <c r="AC78" s="541">
        <v>0</v>
      </c>
      <c r="AD78" s="541">
        <v>0</v>
      </c>
      <c r="AE78" s="541">
        <v>0</v>
      </c>
      <c r="AF78" s="541">
        <v>0</v>
      </c>
      <c r="AG78" s="541">
        <v>0</v>
      </c>
      <c r="AH78" s="541">
        <v>29622</v>
      </c>
      <c r="AI78" s="541">
        <v>0</v>
      </c>
      <c r="AJ78" s="541">
        <v>0</v>
      </c>
      <c r="AK78" s="541">
        <v>0</v>
      </c>
      <c r="AL78" s="541">
        <v>0</v>
      </c>
      <c r="AM78" s="541">
        <v>0</v>
      </c>
      <c r="AN78" s="541">
        <v>0</v>
      </c>
      <c r="AO78" s="541">
        <v>0</v>
      </c>
      <c r="AP78" s="541">
        <v>115.5</v>
      </c>
      <c r="AQ78" s="541">
        <v>0</v>
      </c>
      <c r="AR78" s="541">
        <v>1200</v>
      </c>
      <c r="AS78" s="541">
        <v>0</v>
      </c>
      <c r="AT78" s="543">
        <v>11830</v>
      </c>
      <c r="AU78" s="541">
        <v>0</v>
      </c>
      <c r="AV78" s="541">
        <v>6024.375</v>
      </c>
      <c r="AW78" s="541">
        <v>0</v>
      </c>
      <c r="AX78" s="541">
        <v>14210</v>
      </c>
      <c r="AY78" s="541">
        <v>6024.375</v>
      </c>
      <c r="AZ78" s="541">
        <v>0</v>
      </c>
      <c r="BA78" s="541">
        <v>0</v>
      </c>
      <c r="BB78" s="541">
        <v>0</v>
      </c>
      <c r="BC78" s="544">
        <v>411785.22766666667</v>
      </c>
      <c r="BD78" s="544">
        <v>411785.22766666667</v>
      </c>
      <c r="BE78" s="511"/>
      <c r="BF78" s="565">
        <v>351745.25</v>
      </c>
      <c r="BG78" s="565">
        <v>60039.977666666666</v>
      </c>
      <c r="BH78" s="565">
        <v>0</v>
      </c>
      <c r="BI78" s="565">
        <v>0</v>
      </c>
      <c r="BJ78" s="565">
        <v>411785.22766666667</v>
      </c>
      <c r="BK78" s="565">
        <v>0</v>
      </c>
      <c r="BL78" s="511"/>
      <c r="BM78" s="565">
        <v>263620</v>
      </c>
      <c r="BN78" s="565">
        <v>0</v>
      </c>
    </row>
    <row r="79" spans="1:66" ht="13.2" x14ac:dyDescent="0.25">
      <c r="A79" s="515" t="s">
        <v>618</v>
      </c>
      <c r="B79" s="517">
        <v>2466</v>
      </c>
      <c r="C79" s="517" t="s">
        <v>253</v>
      </c>
      <c r="D79" s="517" t="s">
        <v>36</v>
      </c>
      <c r="E79" s="518" t="s">
        <v>691</v>
      </c>
      <c r="F79" s="540"/>
      <c r="G79" s="540"/>
      <c r="H79" s="540"/>
      <c r="I79" s="540">
        <v>19236.823750000003</v>
      </c>
      <c r="J79" s="540">
        <v>19276.605333333333</v>
      </c>
      <c r="K79" s="540">
        <v>33605.058749999997</v>
      </c>
      <c r="L79" s="541">
        <v>3439</v>
      </c>
      <c r="M79" s="541" t="s">
        <v>1476</v>
      </c>
      <c r="N79" s="541">
        <v>0</v>
      </c>
      <c r="O79" s="541">
        <v>0</v>
      </c>
      <c r="P79" s="541">
        <v>0</v>
      </c>
      <c r="Q79" s="541">
        <v>0</v>
      </c>
      <c r="R79" s="541">
        <v>0</v>
      </c>
      <c r="S79" s="542" t="s">
        <v>1476</v>
      </c>
      <c r="T79" s="541">
        <v>77673.75</v>
      </c>
      <c r="U79" s="541">
        <v>77673.75</v>
      </c>
      <c r="V79" s="541">
        <v>77673.75</v>
      </c>
      <c r="W79" s="541">
        <v>77673.75</v>
      </c>
      <c r="X79" s="543" t="s">
        <v>1476</v>
      </c>
      <c r="Y79" s="541">
        <v>0</v>
      </c>
      <c r="Z79" s="541">
        <v>21317</v>
      </c>
      <c r="AA79" s="541">
        <v>0</v>
      </c>
      <c r="AB79" s="541">
        <v>0</v>
      </c>
      <c r="AC79" s="541">
        <v>0</v>
      </c>
      <c r="AD79" s="541">
        <v>0</v>
      </c>
      <c r="AE79" s="541">
        <v>0</v>
      </c>
      <c r="AF79" s="541">
        <v>0</v>
      </c>
      <c r="AG79" s="541">
        <v>0</v>
      </c>
      <c r="AH79" s="541">
        <v>60411</v>
      </c>
      <c r="AI79" s="541">
        <v>10629</v>
      </c>
      <c r="AJ79" s="541">
        <v>3761</v>
      </c>
      <c r="AK79" s="541">
        <v>0</v>
      </c>
      <c r="AL79" s="541">
        <v>0</v>
      </c>
      <c r="AM79" s="541">
        <v>0</v>
      </c>
      <c r="AN79" s="541">
        <v>0</v>
      </c>
      <c r="AO79" s="541">
        <v>0</v>
      </c>
      <c r="AP79" s="541">
        <v>0</v>
      </c>
      <c r="AQ79" s="541">
        <v>0</v>
      </c>
      <c r="AR79" s="541">
        <v>0</v>
      </c>
      <c r="AS79" s="541">
        <v>0</v>
      </c>
      <c r="AT79" s="543">
        <v>20530</v>
      </c>
      <c r="AU79" s="541">
        <v>0</v>
      </c>
      <c r="AV79" s="541">
        <v>7737.1875000000009</v>
      </c>
      <c r="AW79" s="541">
        <v>0</v>
      </c>
      <c r="AX79" s="541">
        <v>16747.5</v>
      </c>
      <c r="AY79" s="541">
        <v>7737.1875000000009</v>
      </c>
      <c r="AZ79" s="541">
        <v>0</v>
      </c>
      <c r="BA79" s="541">
        <v>0</v>
      </c>
      <c r="BB79" s="541">
        <v>0</v>
      </c>
      <c r="BC79" s="544">
        <v>535122.36283333332</v>
      </c>
      <c r="BD79" s="544">
        <v>535122.36283333332</v>
      </c>
      <c r="BE79" s="511"/>
      <c r="BF79" s="565">
        <v>459564.875</v>
      </c>
      <c r="BG79" s="565">
        <v>75557.487833333333</v>
      </c>
      <c r="BH79" s="565">
        <v>0</v>
      </c>
      <c r="BI79" s="565">
        <v>0</v>
      </c>
      <c r="BJ79" s="565">
        <v>535122.36283333332</v>
      </c>
      <c r="BK79" s="565">
        <v>0</v>
      </c>
      <c r="BL79" s="511"/>
      <c r="BM79" s="565">
        <v>310695</v>
      </c>
      <c r="BN79" s="565">
        <v>0</v>
      </c>
    </row>
    <row r="80" spans="1:66" s="403" customFormat="1" ht="13.2" x14ac:dyDescent="0.25">
      <c r="A80" s="547" t="s">
        <v>618</v>
      </c>
      <c r="B80" s="548">
        <v>3316</v>
      </c>
      <c r="C80" s="548" t="s">
        <v>255</v>
      </c>
      <c r="D80" s="548" t="s">
        <v>36</v>
      </c>
      <c r="E80" s="549" t="s">
        <v>692</v>
      </c>
      <c r="F80" s="550"/>
      <c r="G80" s="550"/>
      <c r="H80" s="550"/>
      <c r="I80" s="550">
        <v>0</v>
      </c>
      <c r="J80" s="550">
        <v>0</v>
      </c>
      <c r="K80" s="550">
        <v>0</v>
      </c>
      <c r="L80" s="541">
        <v>0</v>
      </c>
      <c r="M80" s="541" t="s">
        <v>1476</v>
      </c>
      <c r="N80" s="541">
        <v>0</v>
      </c>
      <c r="O80" s="541">
        <v>0</v>
      </c>
      <c r="P80" s="541">
        <v>0</v>
      </c>
      <c r="Q80" s="541">
        <v>0</v>
      </c>
      <c r="R80" s="541">
        <v>0</v>
      </c>
      <c r="S80" s="542" t="s">
        <v>1476</v>
      </c>
      <c r="T80" s="541">
        <v>0</v>
      </c>
      <c r="U80" s="541">
        <v>0</v>
      </c>
      <c r="V80" s="541">
        <v>0</v>
      </c>
      <c r="W80" s="541" t="s">
        <v>1476</v>
      </c>
      <c r="X80" s="543" t="s">
        <v>1476</v>
      </c>
      <c r="Y80" s="541">
        <v>0</v>
      </c>
      <c r="Z80" s="541">
        <v>0</v>
      </c>
      <c r="AA80" s="541">
        <v>0</v>
      </c>
      <c r="AB80" s="541">
        <v>0</v>
      </c>
      <c r="AC80" s="541">
        <v>0</v>
      </c>
      <c r="AD80" s="541">
        <v>0</v>
      </c>
      <c r="AE80" s="541">
        <v>0</v>
      </c>
      <c r="AF80" s="541">
        <v>0</v>
      </c>
      <c r="AG80" s="541">
        <v>0</v>
      </c>
      <c r="AH80" s="541">
        <v>0</v>
      </c>
      <c r="AI80" s="541">
        <v>0</v>
      </c>
      <c r="AJ80" s="541">
        <v>0</v>
      </c>
      <c r="AK80" s="541">
        <v>0</v>
      </c>
      <c r="AL80" s="541">
        <v>0</v>
      </c>
      <c r="AM80" s="541">
        <v>0</v>
      </c>
      <c r="AN80" s="541">
        <v>0</v>
      </c>
      <c r="AO80" s="541">
        <v>0</v>
      </c>
      <c r="AP80" s="541">
        <v>0</v>
      </c>
      <c r="AQ80" s="541">
        <v>0</v>
      </c>
      <c r="AR80" s="541">
        <v>0</v>
      </c>
      <c r="AS80" s="541">
        <v>0</v>
      </c>
      <c r="AT80" s="543">
        <v>0</v>
      </c>
      <c r="AU80" s="541">
        <v>0</v>
      </c>
      <c r="AV80" s="541">
        <v>0</v>
      </c>
      <c r="AW80" s="541">
        <v>0</v>
      </c>
      <c r="AX80" s="541">
        <v>0</v>
      </c>
      <c r="AY80" s="541">
        <v>0</v>
      </c>
      <c r="AZ80" s="541">
        <v>0</v>
      </c>
      <c r="BA80" s="541">
        <v>0</v>
      </c>
      <c r="BB80" s="541">
        <v>0</v>
      </c>
      <c r="BC80" s="544">
        <v>0</v>
      </c>
      <c r="BD80" s="544">
        <v>0</v>
      </c>
      <c r="BE80" s="547"/>
      <c r="BF80" s="565">
        <v>0</v>
      </c>
      <c r="BG80" s="565">
        <v>0</v>
      </c>
      <c r="BH80" s="565">
        <v>0</v>
      </c>
      <c r="BI80" s="565">
        <v>0</v>
      </c>
      <c r="BJ80" s="565">
        <v>0</v>
      </c>
      <c r="BK80" s="512">
        <v>0</v>
      </c>
      <c r="BL80" s="514"/>
      <c r="BM80" s="512">
        <v>0</v>
      </c>
      <c r="BN80" s="512">
        <v>0</v>
      </c>
    </row>
    <row r="81" spans="1:66" ht="13.2" x14ac:dyDescent="0.25">
      <c r="A81" s="515" t="s">
        <v>618</v>
      </c>
      <c r="B81" s="517">
        <v>2091</v>
      </c>
      <c r="C81" s="517" t="s">
        <v>257</v>
      </c>
      <c r="D81" s="517" t="s">
        <v>36</v>
      </c>
      <c r="E81" s="518" t="s">
        <v>693</v>
      </c>
      <c r="F81" s="540"/>
      <c r="G81" s="540"/>
      <c r="H81" s="540"/>
      <c r="I81" s="540">
        <v>3363.0870833333329</v>
      </c>
      <c r="J81" s="540">
        <v>6161.1363333333338</v>
      </c>
      <c r="K81" s="540">
        <v>8912.52225</v>
      </c>
      <c r="L81" s="541">
        <v>0</v>
      </c>
      <c r="M81" s="541" t="s">
        <v>1476</v>
      </c>
      <c r="N81" s="541">
        <v>0</v>
      </c>
      <c r="O81" s="541">
        <v>0</v>
      </c>
      <c r="P81" s="541">
        <v>0</v>
      </c>
      <c r="Q81" s="541">
        <v>0</v>
      </c>
      <c r="R81" s="541">
        <v>0</v>
      </c>
      <c r="S81" s="542" t="s">
        <v>1476</v>
      </c>
      <c r="T81" s="541">
        <v>29753.75</v>
      </c>
      <c r="U81" s="541">
        <v>29753.75</v>
      </c>
      <c r="V81" s="541">
        <v>29417.5</v>
      </c>
      <c r="W81" s="541">
        <v>28745</v>
      </c>
      <c r="X81" s="543" t="s">
        <v>1476</v>
      </c>
      <c r="Y81" s="541">
        <v>0</v>
      </c>
      <c r="Z81" s="541">
        <v>17696</v>
      </c>
      <c r="AA81" s="541">
        <v>0</v>
      </c>
      <c r="AB81" s="541">
        <v>0</v>
      </c>
      <c r="AC81" s="541">
        <v>0</v>
      </c>
      <c r="AD81" s="541">
        <v>0</v>
      </c>
      <c r="AE81" s="541">
        <v>0</v>
      </c>
      <c r="AF81" s="541">
        <v>0</v>
      </c>
      <c r="AG81" s="541">
        <v>0</v>
      </c>
      <c r="AH81" s="541">
        <v>21064</v>
      </c>
      <c r="AI81" s="541">
        <v>0</v>
      </c>
      <c r="AJ81" s="541">
        <v>0</v>
      </c>
      <c r="AK81" s="541">
        <v>0</v>
      </c>
      <c r="AL81" s="541">
        <v>0</v>
      </c>
      <c r="AM81" s="541">
        <v>0</v>
      </c>
      <c r="AN81" s="541">
        <v>0</v>
      </c>
      <c r="AO81" s="541">
        <v>0</v>
      </c>
      <c r="AP81" s="541">
        <v>11462.5</v>
      </c>
      <c r="AQ81" s="541">
        <v>0</v>
      </c>
      <c r="AR81" s="541">
        <v>0</v>
      </c>
      <c r="AS81" s="541">
        <v>0</v>
      </c>
      <c r="AT81" s="543">
        <v>6430</v>
      </c>
      <c r="AU81" s="541">
        <v>0</v>
      </c>
      <c r="AV81" s="541">
        <v>2657.8125</v>
      </c>
      <c r="AW81" s="541">
        <v>0</v>
      </c>
      <c r="AX81" s="541">
        <v>6235</v>
      </c>
      <c r="AY81" s="541">
        <v>2657.8125</v>
      </c>
      <c r="AZ81" s="541">
        <v>0</v>
      </c>
      <c r="BA81" s="541">
        <v>0</v>
      </c>
      <c r="BB81" s="541">
        <v>0</v>
      </c>
      <c r="BC81" s="544">
        <v>204309.87066666665</v>
      </c>
      <c r="BD81" s="544">
        <v>204309.87066666665</v>
      </c>
      <c r="BE81" s="511"/>
      <c r="BF81" s="565">
        <v>185873.125</v>
      </c>
      <c r="BG81" s="565">
        <v>18436.745666666669</v>
      </c>
      <c r="BH81" s="565">
        <v>0</v>
      </c>
      <c r="BI81" s="565">
        <v>0</v>
      </c>
      <c r="BJ81" s="565">
        <v>204309.87066666665</v>
      </c>
      <c r="BK81" s="565">
        <v>0</v>
      </c>
      <c r="BL81" s="511"/>
      <c r="BM81" s="565">
        <v>117670</v>
      </c>
      <c r="BN81" s="565">
        <v>0</v>
      </c>
    </row>
    <row r="82" spans="1:66" ht="13.2" x14ac:dyDescent="0.25">
      <c r="A82" s="515" t="s">
        <v>614</v>
      </c>
      <c r="B82" s="517">
        <v>2093</v>
      </c>
      <c r="C82" s="517" t="s">
        <v>259</v>
      </c>
      <c r="D82" s="517" t="s">
        <v>36</v>
      </c>
      <c r="E82" s="518" t="s">
        <v>694</v>
      </c>
      <c r="F82" s="540"/>
      <c r="G82" s="540"/>
      <c r="H82" s="540"/>
      <c r="I82" s="540">
        <v>2512.0833333333367</v>
      </c>
      <c r="J82" s="540">
        <v>10873.333333333332</v>
      </c>
      <c r="K82" s="540">
        <v>11780.002500000001</v>
      </c>
      <c r="L82" s="541">
        <v>0</v>
      </c>
      <c r="M82" s="541" t="s">
        <v>1476</v>
      </c>
      <c r="N82" s="541">
        <v>0</v>
      </c>
      <c r="O82" s="541">
        <v>0</v>
      </c>
      <c r="P82" s="541">
        <v>0</v>
      </c>
      <c r="Q82" s="541">
        <v>0</v>
      </c>
      <c r="R82" s="541">
        <v>0</v>
      </c>
      <c r="S82" s="542" t="s">
        <v>1476</v>
      </c>
      <c r="T82" s="541">
        <v>23787.5</v>
      </c>
      <c r="U82" s="541">
        <v>23787.5</v>
      </c>
      <c r="V82" s="541">
        <v>23787.5</v>
      </c>
      <c r="W82" s="541">
        <v>23787.5</v>
      </c>
      <c r="X82" s="543" t="s">
        <v>1476</v>
      </c>
      <c r="Y82" s="541">
        <v>0</v>
      </c>
      <c r="Z82" s="541">
        <v>18378</v>
      </c>
      <c r="AA82" s="541">
        <v>0</v>
      </c>
      <c r="AB82" s="541">
        <v>0</v>
      </c>
      <c r="AC82" s="541">
        <v>0</v>
      </c>
      <c r="AD82" s="541">
        <v>0</v>
      </c>
      <c r="AE82" s="541">
        <v>0</v>
      </c>
      <c r="AF82" s="541">
        <v>0</v>
      </c>
      <c r="AG82" s="541">
        <v>0</v>
      </c>
      <c r="AH82" s="541">
        <v>106853</v>
      </c>
      <c r="AI82" s="541">
        <v>6909</v>
      </c>
      <c r="AJ82" s="541">
        <v>2445</v>
      </c>
      <c r="AK82" s="541">
        <v>0</v>
      </c>
      <c r="AL82" s="541">
        <v>0</v>
      </c>
      <c r="AM82" s="541">
        <v>0</v>
      </c>
      <c r="AN82" s="541">
        <v>0</v>
      </c>
      <c r="AO82" s="541">
        <v>0</v>
      </c>
      <c r="AP82" s="541">
        <v>0</v>
      </c>
      <c r="AQ82" s="541">
        <v>0</v>
      </c>
      <c r="AR82" s="541">
        <v>1200</v>
      </c>
      <c r="AS82" s="541">
        <v>0</v>
      </c>
      <c r="AT82" s="543">
        <v>11960</v>
      </c>
      <c r="AU82" s="541">
        <v>0</v>
      </c>
      <c r="AV82" s="541">
        <v>1653.75</v>
      </c>
      <c r="AW82" s="541">
        <v>0</v>
      </c>
      <c r="AX82" s="541">
        <v>5075</v>
      </c>
      <c r="AY82" s="541">
        <v>1653.75</v>
      </c>
      <c r="AZ82" s="541">
        <v>0</v>
      </c>
      <c r="BA82" s="541">
        <v>0</v>
      </c>
      <c r="BB82" s="541">
        <v>0</v>
      </c>
      <c r="BC82" s="544">
        <v>276442.91916666669</v>
      </c>
      <c r="BD82" s="544">
        <v>276442.91916666669</v>
      </c>
      <c r="BE82" s="511"/>
      <c r="BF82" s="565">
        <v>251277.5</v>
      </c>
      <c r="BG82" s="565">
        <v>25165.419166666667</v>
      </c>
      <c r="BH82" s="565">
        <v>0</v>
      </c>
      <c r="BI82" s="565">
        <v>0</v>
      </c>
      <c r="BJ82" s="565">
        <v>276442.91916666669</v>
      </c>
      <c r="BK82" s="565">
        <v>0</v>
      </c>
      <c r="BL82" s="511"/>
      <c r="BM82" s="565">
        <v>95150</v>
      </c>
      <c r="BN82" s="565">
        <v>0</v>
      </c>
    </row>
    <row r="83" spans="1:66" ht="13.2" x14ac:dyDescent="0.25">
      <c r="A83" s="515" t="s">
        <v>616</v>
      </c>
      <c r="B83" s="517">
        <v>2092</v>
      </c>
      <c r="C83" s="517" t="s">
        <v>261</v>
      </c>
      <c r="D83" s="517" t="s">
        <v>107</v>
      </c>
      <c r="E83" s="518" t="s">
        <v>695</v>
      </c>
      <c r="F83" s="540"/>
      <c r="G83" s="540"/>
      <c r="H83" s="540"/>
      <c r="I83" s="540">
        <v>20008.401785714283</v>
      </c>
      <c r="J83" s="540">
        <v>17444.077761904762</v>
      </c>
      <c r="K83" s="540">
        <v>19533.875499999998</v>
      </c>
      <c r="L83" s="541">
        <v>22250</v>
      </c>
      <c r="M83" s="541" t="s">
        <v>1476</v>
      </c>
      <c r="N83" s="541">
        <v>0</v>
      </c>
      <c r="O83" s="541">
        <v>0</v>
      </c>
      <c r="P83" s="541">
        <v>0</v>
      </c>
      <c r="Q83" s="541">
        <v>0</v>
      </c>
      <c r="R83" s="541">
        <v>0</v>
      </c>
      <c r="S83" s="542" t="s">
        <v>1476</v>
      </c>
      <c r="T83" s="541">
        <v>43445</v>
      </c>
      <c r="U83" s="541">
        <v>43445</v>
      </c>
      <c r="V83" s="541">
        <v>43445</v>
      </c>
      <c r="W83" s="541">
        <v>43445</v>
      </c>
      <c r="X83" s="543" t="s">
        <v>1476</v>
      </c>
      <c r="Y83" s="541">
        <v>0</v>
      </c>
      <c r="Z83" s="541">
        <v>20806</v>
      </c>
      <c r="AA83" s="541">
        <v>0</v>
      </c>
      <c r="AB83" s="541">
        <v>0</v>
      </c>
      <c r="AC83" s="541">
        <v>0</v>
      </c>
      <c r="AD83" s="541">
        <v>0</v>
      </c>
      <c r="AE83" s="541">
        <v>0</v>
      </c>
      <c r="AF83" s="541">
        <v>0</v>
      </c>
      <c r="AG83" s="541">
        <v>0</v>
      </c>
      <c r="AH83" s="541">
        <v>0</v>
      </c>
      <c r="AI83" s="541">
        <v>0</v>
      </c>
      <c r="AJ83" s="541">
        <v>0</v>
      </c>
      <c r="AK83" s="541">
        <v>0</v>
      </c>
      <c r="AL83" s="541">
        <v>0</v>
      </c>
      <c r="AM83" s="541">
        <v>0</v>
      </c>
      <c r="AN83" s="541">
        <v>0</v>
      </c>
      <c r="AO83" s="541">
        <v>0</v>
      </c>
      <c r="AP83" s="541">
        <v>0</v>
      </c>
      <c r="AQ83" s="541">
        <v>0</v>
      </c>
      <c r="AR83" s="541">
        <v>0</v>
      </c>
      <c r="AS83" s="541">
        <v>0</v>
      </c>
      <c r="AT83" s="543">
        <v>16100</v>
      </c>
      <c r="AU83" s="541">
        <v>0</v>
      </c>
      <c r="AV83" s="541">
        <v>4488.75</v>
      </c>
      <c r="AW83" s="541">
        <v>0</v>
      </c>
      <c r="AX83" s="541">
        <v>9135</v>
      </c>
      <c r="AY83" s="541">
        <v>4488.75</v>
      </c>
      <c r="AZ83" s="541">
        <v>0</v>
      </c>
      <c r="BA83" s="541">
        <v>0</v>
      </c>
      <c r="BB83" s="541">
        <v>0</v>
      </c>
      <c r="BC83" s="544">
        <v>308034.85504761903</v>
      </c>
      <c r="BD83" s="544">
        <v>308034.85504761903</v>
      </c>
      <c r="BE83" s="511"/>
      <c r="BF83" s="565">
        <v>228798.5</v>
      </c>
      <c r="BG83" s="565">
        <v>79236.355047619043</v>
      </c>
      <c r="BH83" s="565">
        <v>0</v>
      </c>
      <c r="BI83" s="565">
        <v>0</v>
      </c>
      <c r="BJ83" s="565">
        <v>308034.85504761903</v>
      </c>
      <c r="BK83" s="565">
        <v>0</v>
      </c>
      <c r="BL83" s="511"/>
      <c r="BM83" s="565">
        <v>173780</v>
      </c>
      <c r="BN83" s="565">
        <v>0</v>
      </c>
    </row>
    <row r="84" spans="1:66" ht="13.2" x14ac:dyDescent="0.25">
      <c r="A84" s="515" t="s">
        <v>618</v>
      </c>
      <c r="B84" s="517">
        <v>2477</v>
      </c>
      <c r="C84" s="517" t="s">
        <v>263</v>
      </c>
      <c r="D84" s="517" t="s">
        <v>36</v>
      </c>
      <c r="E84" s="518" t="s">
        <v>696</v>
      </c>
      <c r="F84" s="540"/>
      <c r="G84" s="540"/>
      <c r="H84" s="540"/>
      <c r="I84" s="540">
        <v>30086.450416666667</v>
      </c>
      <c r="J84" s="540">
        <v>25744.690333333336</v>
      </c>
      <c r="K84" s="540">
        <v>26033.01</v>
      </c>
      <c r="L84" s="541">
        <v>19856</v>
      </c>
      <c r="M84" s="541" t="s">
        <v>1476</v>
      </c>
      <c r="N84" s="541">
        <v>0</v>
      </c>
      <c r="O84" s="541">
        <v>0</v>
      </c>
      <c r="P84" s="541">
        <v>0</v>
      </c>
      <c r="Q84" s="541">
        <v>0</v>
      </c>
      <c r="R84" s="541">
        <v>0</v>
      </c>
      <c r="S84" s="542" t="s">
        <v>1476</v>
      </c>
      <c r="T84" s="541">
        <v>26338.75</v>
      </c>
      <c r="U84" s="541">
        <v>26338.75</v>
      </c>
      <c r="V84" s="541">
        <v>26338.75</v>
      </c>
      <c r="W84" s="541">
        <v>26338.75</v>
      </c>
      <c r="X84" s="543" t="s">
        <v>1476</v>
      </c>
      <c r="Y84" s="541">
        <v>0</v>
      </c>
      <c r="Z84" s="541">
        <v>21775</v>
      </c>
      <c r="AA84" s="541">
        <v>0</v>
      </c>
      <c r="AB84" s="541">
        <v>0</v>
      </c>
      <c r="AC84" s="541">
        <v>0</v>
      </c>
      <c r="AD84" s="541">
        <v>0</v>
      </c>
      <c r="AE84" s="541">
        <v>0</v>
      </c>
      <c r="AF84" s="541">
        <v>0</v>
      </c>
      <c r="AG84" s="541">
        <v>0</v>
      </c>
      <c r="AH84" s="541">
        <v>143255</v>
      </c>
      <c r="AI84" s="541">
        <v>0</v>
      </c>
      <c r="AJ84" s="541">
        <v>0</v>
      </c>
      <c r="AK84" s="541">
        <v>0</v>
      </c>
      <c r="AL84" s="541">
        <v>0</v>
      </c>
      <c r="AM84" s="541">
        <v>0</v>
      </c>
      <c r="AN84" s="541">
        <v>0</v>
      </c>
      <c r="AO84" s="541">
        <v>0</v>
      </c>
      <c r="AP84" s="541">
        <v>0</v>
      </c>
      <c r="AQ84" s="541">
        <v>0</v>
      </c>
      <c r="AR84" s="541">
        <v>0</v>
      </c>
      <c r="AS84" s="541">
        <v>0</v>
      </c>
      <c r="AT84" s="543">
        <v>23830</v>
      </c>
      <c r="AU84" s="541">
        <v>0</v>
      </c>
      <c r="AV84" s="541">
        <v>2303.4375</v>
      </c>
      <c r="AW84" s="541">
        <v>0</v>
      </c>
      <c r="AX84" s="541">
        <v>5147.5</v>
      </c>
      <c r="AY84" s="541">
        <v>2303.4375</v>
      </c>
      <c r="AZ84" s="541">
        <v>0</v>
      </c>
      <c r="BA84" s="541">
        <v>0</v>
      </c>
      <c r="BB84" s="541">
        <v>0</v>
      </c>
      <c r="BC84" s="544">
        <v>405689.52575000003</v>
      </c>
      <c r="BD84" s="544">
        <v>405689.52575000003</v>
      </c>
      <c r="BE84" s="511"/>
      <c r="BF84" s="565">
        <v>303969.375</v>
      </c>
      <c r="BG84" s="565">
        <v>101720.15075</v>
      </c>
      <c r="BH84" s="565">
        <v>0</v>
      </c>
      <c r="BI84" s="565">
        <v>0</v>
      </c>
      <c r="BJ84" s="565">
        <v>405689.52575000003</v>
      </c>
      <c r="BK84" s="565">
        <v>0</v>
      </c>
      <c r="BL84" s="511"/>
      <c r="BM84" s="565">
        <v>105355</v>
      </c>
      <c r="BN84" s="565">
        <v>0</v>
      </c>
    </row>
    <row r="85" spans="1:66" ht="13.2" x14ac:dyDescent="0.25">
      <c r="A85" s="515" t="s">
        <v>618</v>
      </c>
      <c r="B85" s="517">
        <v>3436</v>
      </c>
      <c r="C85" s="517" t="s">
        <v>265</v>
      </c>
      <c r="D85" s="517" t="s">
        <v>36</v>
      </c>
      <c r="E85" s="518" t="s">
        <v>697</v>
      </c>
      <c r="F85" s="540"/>
      <c r="G85" s="540"/>
      <c r="H85" s="540"/>
      <c r="I85" s="540">
        <v>3113.333333333333</v>
      </c>
      <c r="J85" s="540">
        <v>0</v>
      </c>
      <c r="K85" s="540">
        <v>0</v>
      </c>
      <c r="L85" s="541">
        <v>0</v>
      </c>
      <c r="M85" s="541" t="s">
        <v>1476</v>
      </c>
      <c r="N85" s="541">
        <v>0</v>
      </c>
      <c r="O85" s="541">
        <v>0</v>
      </c>
      <c r="P85" s="541">
        <v>0</v>
      </c>
      <c r="Q85" s="541">
        <v>0</v>
      </c>
      <c r="R85" s="541">
        <v>0</v>
      </c>
      <c r="S85" s="542" t="s">
        <v>1476</v>
      </c>
      <c r="T85" s="541">
        <v>29753.75</v>
      </c>
      <c r="U85" s="541">
        <v>29753.75</v>
      </c>
      <c r="V85" s="541">
        <v>30090</v>
      </c>
      <c r="W85" s="541">
        <v>30762.5</v>
      </c>
      <c r="X85" s="543" t="s">
        <v>1476</v>
      </c>
      <c r="Y85" s="541">
        <v>0</v>
      </c>
      <c r="Z85" s="541">
        <v>17483</v>
      </c>
      <c r="AA85" s="541">
        <v>0</v>
      </c>
      <c r="AB85" s="541">
        <v>0</v>
      </c>
      <c r="AC85" s="541">
        <v>0</v>
      </c>
      <c r="AD85" s="541">
        <v>0</v>
      </c>
      <c r="AE85" s="541">
        <v>64260</v>
      </c>
      <c r="AF85" s="541">
        <v>0</v>
      </c>
      <c r="AG85" s="541">
        <v>0</v>
      </c>
      <c r="AH85" s="541">
        <v>10430</v>
      </c>
      <c r="AI85" s="541">
        <v>0</v>
      </c>
      <c r="AJ85" s="541">
        <v>0</v>
      </c>
      <c r="AK85" s="541">
        <v>0</v>
      </c>
      <c r="AL85" s="541">
        <v>0</v>
      </c>
      <c r="AM85" s="541">
        <v>0</v>
      </c>
      <c r="AN85" s="541">
        <v>0</v>
      </c>
      <c r="AO85" s="541">
        <v>0</v>
      </c>
      <c r="AP85" s="541">
        <v>0</v>
      </c>
      <c r="AQ85" s="541">
        <v>0</v>
      </c>
      <c r="AR85" s="541">
        <v>1200</v>
      </c>
      <c r="AS85" s="541">
        <v>0</v>
      </c>
      <c r="AT85" s="543">
        <v>5400</v>
      </c>
      <c r="AU85" s="541">
        <v>0</v>
      </c>
      <c r="AV85" s="541">
        <v>2894.0625</v>
      </c>
      <c r="AW85" s="541">
        <v>0</v>
      </c>
      <c r="AX85" s="541">
        <v>6380</v>
      </c>
      <c r="AY85" s="541">
        <v>3012.1875</v>
      </c>
      <c r="AZ85" s="541">
        <v>0</v>
      </c>
      <c r="BA85" s="541">
        <v>0</v>
      </c>
      <c r="BB85" s="541">
        <v>0</v>
      </c>
      <c r="BC85" s="544">
        <v>234532.58333333334</v>
      </c>
      <c r="BD85" s="544">
        <v>234532.58333333334</v>
      </c>
      <c r="BE85" s="511"/>
      <c r="BF85" s="565">
        <v>167159.25</v>
      </c>
      <c r="BG85" s="565">
        <v>3113.333333333333</v>
      </c>
      <c r="BH85" s="565">
        <v>64260</v>
      </c>
      <c r="BI85" s="565">
        <v>0</v>
      </c>
      <c r="BJ85" s="565">
        <v>234532.58333333334</v>
      </c>
      <c r="BK85" s="565">
        <v>0</v>
      </c>
      <c r="BL85" s="511"/>
      <c r="BM85" s="565">
        <v>120360</v>
      </c>
      <c r="BN85" s="565">
        <v>0</v>
      </c>
    </row>
    <row r="86" spans="1:66" ht="13.2" x14ac:dyDescent="0.25">
      <c r="A86" s="515" t="s">
        <v>614</v>
      </c>
      <c r="B86" s="517">
        <v>2099</v>
      </c>
      <c r="C86" s="517" t="s">
        <v>267</v>
      </c>
      <c r="D86" s="517" t="s">
        <v>36</v>
      </c>
      <c r="E86" s="518" t="s">
        <v>698</v>
      </c>
      <c r="F86" s="540"/>
      <c r="G86" s="540"/>
      <c r="H86" s="540"/>
      <c r="I86" s="540">
        <v>4487.333333333333</v>
      </c>
      <c r="J86" s="540">
        <v>9437.6666666666679</v>
      </c>
      <c r="K86" s="540">
        <v>11703.252500000001</v>
      </c>
      <c r="L86" s="541">
        <v>0</v>
      </c>
      <c r="M86" s="541" t="s">
        <v>1476</v>
      </c>
      <c r="N86" s="541">
        <v>0</v>
      </c>
      <c r="O86" s="541">
        <v>0</v>
      </c>
      <c r="P86" s="541">
        <v>0</v>
      </c>
      <c r="Q86" s="541">
        <v>68160.594886243911</v>
      </c>
      <c r="R86" s="541">
        <v>54528.475908995133</v>
      </c>
      <c r="S86" s="542">
        <v>36805.01</v>
      </c>
      <c r="T86" s="541">
        <v>45557.5</v>
      </c>
      <c r="U86" s="541">
        <v>45557.5</v>
      </c>
      <c r="V86" s="541">
        <v>45557.5</v>
      </c>
      <c r="W86" s="541">
        <v>45557.5</v>
      </c>
      <c r="X86" s="543" t="s">
        <v>1476</v>
      </c>
      <c r="Y86" s="541">
        <v>0</v>
      </c>
      <c r="Z86" s="541">
        <v>17774</v>
      </c>
      <c r="AA86" s="541">
        <v>0</v>
      </c>
      <c r="AB86" s="541">
        <v>0</v>
      </c>
      <c r="AC86" s="541">
        <v>0</v>
      </c>
      <c r="AD86" s="541">
        <v>0</v>
      </c>
      <c r="AE86" s="541">
        <v>0</v>
      </c>
      <c r="AF86" s="541">
        <v>0</v>
      </c>
      <c r="AG86" s="541">
        <v>0</v>
      </c>
      <c r="AH86" s="541">
        <v>17358</v>
      </c>
      <c r="AI86" s="541">
        <v>4517</v>
      </c>
      <c r="AJ86" s="541">
        <v>1599</v>
      </c>
      <c r="AK86" s="541">
        <v>0</v>
      </c>
      <c r="AL86" s="541">
        <v>0</v>
      </c>
      <c r="AM86" s="541">
        <v>0</v>
      </c>
      <c r="AN86" s="541">
        <v>0</v>
      </c>
      <c r="AO86" s="541">
        <v>0</v>
      </c>
      <c r="AP86" s="541">
        <v>0</v>
      </c>
      <c r="AQ86" s="541">
        <v>0</v>
      </c>
      <c r="AR86" s="541">
        <v>1200</v>
      </c>
      <c r="AS86" s="541">
        <v>0</v>
      </c>
      <c r="AT86" s="543">
        <v>7900</v>
      </c>
      <c r="AU86" s="541">
        <v>0</v>
      </c>
      <c r="AV86" s="541">
        <v>5072.8125</v>
      </c>
      <c r="AW86" s="541">
        <v>0</v>
      </c>
      <c r="AX86" s="541">
        <v>10841.5</v>
      </c>
      <c r="AY86" s="541">
        <v>5072.8125</v>
      </c>
      <c r="AZ86" s="541">
        <v>0</v>
      </c>
      <c r="BA86" s="541">
        <v>0</v>
      </c>
      <c r="BB86" s="541">
        <v>0</v>
      </c>
      <c r="BC86" s="544">
        <v>438687.45829523902</v>
      </c>
      <c r="BD86" s="544">
        <v>438687.45829523902</v>
      </c>
      <c r="BE86" s="511"/>
      <c r="BF86" s="565">
        <v>253565.125</v>
      </c>
      <c r="BG86" s="565">
        <v>185122.33329523905</v>
      </c>
      <c r="BH86" s="565">
        <v>0</v>
      </c>
      <c r="BI86" s="565">
        <v>0</v>
      </c>
      <c r="BJ86" s="565">
        <v>438687.45829523902</v>
      </c>
      <c r="BK86" s="565">
        <v>0</v>
      </c>
      <c r="BL86" s="511"/>
      <c r="BM86" s="565">
        <v>182230</v>
      </c>
      <c r="BN86" s="565">
        <v>159494.08079523905</v>
      </c>
    </row>
    <row r="87" spans="1:66" ht="13.2" x14ac:dyDescent="0.25">
      <c r="A87" s="515" t="s">
        <v>614</v>
      </c>
      <c r="B87" s="517">
        <v>2313</v>
      </c>
      <c r="C87" s="517" t="s">
        <v>269</v>
      </c>
      <c r="D87" s="517" t="s">
        <v>36</v>
      </c>
      <c r="E87" s="518" t="s">
        <v>699</v>
      </c>
      <c r="F87" s="540"/>
      <c r="G87" s="540"/>
      <c r="H87" s="540"/>
      <c r="I87" s="540">
        <v>9382.0833333333303</v>
      </c>
      <c r="J87" s="540">
        <v>20825.333333333336</v>
      </c>
      <c r="K87" s="540">
        <v>21210.669166666667</v>
      </c>
      <c r="L87" s="541">
        <v>3951.3333333333335</v>
      </c>
      <c r="M87" s="541" t="s">
        <v>1476</v>
      </c>
      <c r="N87" s="541">
        <v>0</v>
      </c>
      <c r="O87" s="541">
        <v>0</v>
      </c>
      <c r="P87" s="541">
        <v>0</v>
      </c>
      <c r="Q87" s="541">
        <v>0</v>
      </c>
      <c r="R87" s="541">
        <v>0</v>
      </c>
      <c r="S87" s="542" t="s">
        <v>1476</v>
      </c>
      <c r="T87" s="541">
        <v>64560</v>
      </c>
      <c r="U87" s="541">
        <v>64560</v>
      </c>
      <c r="V87" s="541">
        <v>64560</v>
      </c>
      <c r="W87" s="541">
        <v>64560</v>
      </c>
      <c r="X87" s="543" t="s">
        <v>1476</v>
      </c>
      <c r="Y87" s="541">
        <v>0</v>
      </c>
      <c r="Z87" s="541">
        <v>19142</v>
      </c>
      <c r="AA87" s="541">
        <v>0</v>
      </c>
      <c r="AB87" s="541">
        <v>0</v>
      </c>
      <c r="AC87" s="541">
        <v>0</v>
      </c>
      <c r="AD87" s="541">
        <v>0</v>
      </c>
      <c r="AE87" s="541">
        <v>0</v>
      </c>
      <c r="AF87" s="541">
        <v>0</v>
      </c>
      <c r="AG87" s="541">
        <v>0</v>
      </c>
      <c r="AH87" s="541">
        <v>33882</v>
      </c>
      <c r="AI87" s="541">
        <v>0</v>
      </c>
      <c r="AJ87" s="541">
        <v>0</v>
      </c>
      <c r="AK87" s="541">
        <v>0</v>
      </c>
      <c r="AL87" s="541">
        <v>0</v>
      </c>
      <c r="AM87" s="541">
        <v>0</v>
      </c>
      <c r="AN87" s="541">
        <v>0</v>
      </c>
      <c r="AO87" s="541">
        <v>0</v>
      </c>
      <c r="AP87" s="541">
        <v>0</v>
      </c>
      <c r="AQ87" s="541">
        <v>0</v>
      </c>
      <c r="AR87" s="541">
        <v>1200</v>
      </c>
      <c r="AS87" s="541">
        <v>0</v>
      </c>
      <c r="AT87" s="543">
        <v>11930</v>
      </c>
      <c r="AU87" s="541">
        <v>0</v>
      </c>
      <c r="AV87" s="541">
        <v>6437.8125</v>
      </c>
      <c r="AW87" s="541">
        <v>0</v>
      </c>
      <c r="AX87" s="541">
        <v>13920</v>
      </c>
      <c r="AY87" s="541">
        <v>6437.8125</v>
      </c>
      <c r="AZ87" s="541">
        <v>0</v>
      </c>
      <c r="BA87" s="541">
        <v>0</v>
      </c>
      <c r="BB87" s="541">
        <v>0</v>
      </c>
      <c r="BC87" s="544">
        <v>406559.04416666669</v>
      </c>
      <c r="BD87" s="544">
        <v>406559.04416666669</v>
      </c>
      <c r="BE87" s="511"/>
      <c r="BF87" s="565">
        <v>351189.625</v>
      </c>
      <c r="BG87" s="565">
        <v>55369.419166666667</v>
      </c>
      <c r="BH87" s="565">
        <v>0</v>
      </c>
      <c r="BI87" s="565">
        <v>0</v>
      </c>
      <c r="BJ87" s="565">
        <v>406559.04416666669</v>
      </c>
      <c r="BK87" s="565">
        <v>0</v>
      </c>
      <c r="BL87" s="511"/>
      <c r="BM87" s="565">
        <v>258240</v>
      </c>
      <c r="BN87" s="565">
        <v>0</v>
      </c>
    </row>
    <row r="88" spans="1:66" ht="13.2" x14ac:dyDescent="0.25">
      <c r="A88" s="515" t="s">
        <v>614</v>
      </c>
      <c r="B88" s="517">
        <v>2438</v>
      </c>
      <c r="C88" s="517" t="s">
        <v>271</v>
      </c>
      <c r="D88" s="517" t="s">
        <v>36</v>
      </c>
      <c r="E88" s="518" t="s">
        <v>700</v>
      </c>
      <c r="F88" s="540"/>
      <c r="G88" s="540"/>
      <c r="H88" s="540"/>
      <c r="I88" s="540">
        <v>8940.1637499999997</v>
      </c>
      <c r="J88" s="540">
        <v>7268.4643333333333</v>
      </c>
      <c r="K88" s="540">
        <v>7503.9225000000006</v>
      </c>
      <c r="L88" s="541">
        <v>1629.5</v>
      </c>
      <c r="M88" s="541" t="s">
        <v>1476</v>
      </c>
      <c r="N88" s="541">
        <v>0</v>
      </c>
      <c r="O88" s="541">
        <v>0</v>
      </c>
      <c r="P88" s="541">
        <v>0</v>
      </c>
      <c r="Q88" s="541">
        <v>0</v>
      </c>
      <c r="R88" s="541">
        <v>0</v>
      </c>
      <c r="S88" s="542" t="s">
        <v>1476</v>
      </c>
      <c r="T88" s="541">
        <v>41022.5</v>
      </c>
      <c r="U88" s="541">
        <v>41022.5</v>
      </c>
      <c r="V88" s="541">
        <v>41022.5</v>
      </c>
      <c r="W88" s="541">
        <v>41022.5</v>
      </c>
      <c r="X88" s="543" t="s">
        <v>1476</v>
      </c>
      <c r="Y88" s="541">
        <v>0</v>
      </c>
      <c r="Z88" s="541">
        <v>17737</v>
      </c>
      <c r="AA88" s="541">
        <v>0</v>
      </c>
      <c r="AB88" s="541">
        <v>0</v>
      </c>
      <c r="AC88" s="541">
        <v>0</v>
      </c>
      <c r="AD88" s="541">
        <v>0</v>
      </c>
      <c r="AE88" s="541">
        <v>0</v>
      </c>
      <c r="AF88" s="541">
        <v>0</v>
      </c>
      <c r="AG88" s="541">
        <v>0</v>
      </c>
      <c r="AH88" s="541">
        <v>7225</v>
      </c>
      <c r="AI88" s="541">
        <v>0</v>
      </c>
      <c r="AJ88" s="541">
        <v>0</v>
      </c>
      <c r="AK88" s="541">
        <v>0</v>
      </c>
      <c r="AL88" s="541">
        <v>0</v>
      </c>
      <c r="AM88" s="541">
        <v>0</v>
      </c>
      <c r="AN88" s="541">
        <v>0</v>
      </c>
      <c r="AO88" s="541">
        <v>0</v>
      </c>
      <c r="AP88" s="541">
        <v>0</v>
      </c>
      <c r="AQ88" s="541">
        <v>0</v>
      </c>
      <c r="AR88" s="541">
        <v>0</v>
      </c>
      <c r="AS88" s="541">
        <v>0</v>
      </c>
      <c r="AT88" s="543">
        <v>6400</v>
      </c>
      <c r="AU88" s="541">
        <v>0</v>
      </c>
      <c r="AV88" s="541">
        <v>3839.0625000000005</v>
      </c>
      <c r="AW88" s="541">
        <v>0</v>
      </c>
      <c r="AX88" s="541">
        <v>8845</v>
      </c>
      <c r="AY88" s="541">
        <v>3839.0625000000005</v>
      </c>
      <c r="AZ88" s="541">
        <v>0</v>
      </c>
      <c r="BA88" s="541">
        <v>0</v>
      </c>
      <c r="BB88" s="541">
        <v>0</v>
      </c>
      <c r="BC88" s="544">
        <v>237317.17558333333</v>
      </c>
      <c r="BD88" s="544">
        <v>237317.17558333333</v>
      </c>
      <c r="BE88" s="511"/>
      <c r="BF88" s="565">
        <v>211975.125</v>
      </c>
      <c r="BG88" s="565">
        <v>25342.050583333334</v>
      </c>
      <c r="BH88" s="565">
        <v>0</v>
      </c>
      <c r="BI88" s="565">
        <v>0</v>
      </c>
      <c r="BJ88" s="565">
        <v>237317.17558333333</v>
      </c>
      <c r="BK88" s="565">
        <v>0</v>
      </c>
      <c r="BL88" s="511"/>
      <c r="BM88" s="565">
        <v>164090</v>
      </c>
      <c r="BN88" s="565">
        <v>0</v>
      </c>
    </row>
    <row r="89" spans="1:66" ht="13.2" x14ac:dyDescent="0.25">
      <c r="A89" s="515" t="s">
        <v>614</v>
      </c>
      <c r="B89" s="517">
        <v>2429</v>
      </c>
      <c r="C89" s="517" t="s">
        <v>273</v>
      </c>
      <c r="D89" s="517" t="s">
        <v>36</v>
      </c>
      <c r="E89" s="518" t="s">
        <v>701</v>
      </c>
      <c r="F89" s="540"/>
      <c r="G89" s="540"/>
      <c r="H89" s="540"/>
      <c r="I89" s="540">
        <v>19880.50649699253</v>
      </c>
      <c r="J89" s="540">
        <v>17888.738530927356</v>
      </c>
      <c r="K89" s="540">
        <v>10114.525</v>
      </c>
      <c r="L89" s="541">
        <v>28926</v>
      </c>
      <c r="M89" s="541" t="s">
        <v>1476</v>
      </c>
      <c r="N89" s="541">
        <v>0</v>
      </c>
      <c r="O89" s="541">
        <v>0</v>
      </c>
      <c r="P89" s="541">
        <v>0</v>
      </c>
      <c r="Q89" s="541">
        <v>0</v>
      </c>
      <c r="R89" s="541">
        <v>0</v>
      </c>
      <c r="S89" s="542" t="s">
        <v>1476</v>
      </c>
      <c r="T89" s="541">
        <v>13450</v>
      </c>
      <c r="U89" s="541">
        <v>13450</v>
      </c>
      <c r="V89" s="541">
        <v>13113.75</v>
      </c>
      <c r="W89" s="541">
        <v>12441.25</v>
      </c>
      <c r="X89" s="543" t="s">
        <v>1476</v>
      </c>
      <c r="Y89" s="541">
        <v>0</v>
      </c>
      <c r="Z89" s="541">
        <v>17164</v>
      </c>
      <c r="AA89" s="541">
        <v>0</v>
      </c>
      <c r="AB89" s="541">
        <v>0</v>
      </c>
      <c r="AC89" s="541">
        <v>0</v>
      </c>
      <c r="AD89" s="541">
        <v>0</v>
      </c>
      <c r="AE89" s="541">
        <v>0</v>
      </c>
      <c r="AF89" s="541">
        <v>0</v>
      </c>
      <c r="AG89" s="541">
        <v>0</v>
      </c>
      <c r="AH89" s="541">
        <v>57705</v>
      </c>
      <c r="AI89" s="541">
        <v>4783</v>
      </c>
      <c r="AJ89" s="541">
        <v>1692</v>
      </c>
      <c r="AK89" s="541">
        <v>0</v>
      </c>
      <c r="AL89" s="541">
        <v>0</v>
      </c>
      <c r="AM89" s="541">
        <v>0</v>
      </c>
      <c r="AN89" s="541">
        <v>0</v>
      </c>
      <c r="AO89" s="541">
        <v>0</v>
      </c>
      <c r="AP89" s="541">
        <v>0</v>
      </c>
      <c r="AQ89" s="541">
        <v>0</v>
      </c>
      <c r="AR89" s="541">
        <v>1200</v>
      </c>
      <c r="AS89" s="541">
        <v>0</v>
      </c>
      <c r="AT89" s="543">
        <v>5800</v>
      </c>
      <c r="AU89" s="541">
        <v>0</v>
      </c>
      <c r="AV89" s="541">
        <v>1122.1875</v>
      </c>
      <c r="AW89" s="541">
        <v>0</v>
      </c>
      <c r="AX89" s="541">
        <v>2827.5</v>
      </c>
      <c r="AY89" s="541">
        <v>1122.1875</v>
      </c>
      <c r="AZ89" s="541">
        <v>0</v>
      </c>
      <c r="BA89" s="541">
        <v>0</v>
      </c>
      <c r="BB89" s="541">
        <v>0</v>
      </c>
      <c r="BC89" s="544">
        <v>222680.64502791988</v>
      </c>
      <c r="BD89" s="544">
        <v>222680.64502791988</v>
      </c>
      <c r="BE89" s="511"/>
      <c r="BF89" s="565">
        <v>145870.875</v>
      </c>
      <c r="BG89" s="565">
        <v>76809.770027919876</v>
      </c>
      <c r="BH89" s="565">
        <v>0</v>
      </c>
      <c r="BI89" s="565">
        <v>0</v>
      </c>
      <c r="BJ89" s="565">
        <v>222680.64502791988</v>
      </c>
      <c r="BK89" s="565">
        <v>0</v>
      </c>
      <c r="BL89" s="511"/>
      <c r="BM89" s="565">
        <v>52455</v>
      </c>
      <c r="BN89" s="565">
        <v>0</v>
      </c>
    </row>
    <row r="90" spans="1:66" ht="13.2" x14ac:dyDescent="0.25">
      <c r="A90" s="515" t="s">
        <v>618</v>
      </c>
      <c r="B90" s="517">
        <v>3411</v>
      </c>
      <c r="C90" s="517" t="s">
        <v>275</v>
      </c>
      <c r="D90" s="517" t="s">
        <v>36</v>
      </c>
      <c r="E90" s="518" t="s">
        <v>702</v>
      </c>
      <c r="F90" s="540"/>
      <c r="G90" s="540"/>
      <c r="H90" s="540"/>
      <c r="I90" s="540">
        <v>40293.125308555303</v>
      </c>
      <c r="J90" s="540">
        <v>22831.234999999997</v>
      </c>
      <c r="K90" s="540">
        <v>26983.828333333331</v>
      </c>
      <c r="L90" s="541">
        <v>9032.5</v>
      </c>
      <c r="M90" s="541" t="s">
        <v>1476</v>
      </c>
      <c r="N90" s="541">
        <v>0</v>
      </c>
      <c r="O90" s="541">
        <v>0</v>
      </c>
      <c r="P90" s="541">
        <v>0</v>
      </c>
      <c r="Q90" s="541">
        <v>0</v>
      </c>
      <c r="R90" s="541">
        <v>0</v>
      </c>
      <c r="S90" s="542" t="s">
        <v>1476</v>
      </c>
      <c r="T90" s="541">
        <v>35383.75</v>
      </c>
      <c r="U90" s="541">
        <v>35383.75</v>
      </c>
      <c r="V90" s="541">
        <v>34711.25</v>
      </c>
      <c r="W90" s="541">
        <v>33366.25</v>
      </c>
      <c r="X90" s="543" t="s">
        <v>1476</v>
      </c>
      <c r="Y90" s="541">
        <v>0</v>
      </c>
      <c r="Z90" s="541">
        <v>17027</v>
      </c>
      <c r="AA90" s="541">
        <v>0</v>
      </c>
      <c r="AB90" s="541">
        <v>0</v>
      </c>
      <c r="AC90" s="541">
        <v>0</v>
      </c>
      <c r="AD90" s="541">
        <v>0</v>
      </c>
      <c r="AE90" s="541">
        <v>0</v>
      </c>
      <c r="AF90" s="541">
        <v>0</v>
      </c>
      <c r="AG90" s="541">
        <v>0</v>
      </c>
      <c r="AH90" s="541">
        <v>24379</v>
      </c>
      <c r="AI90" s="541">
        <v>5314</v>
      </c>
      <c r="AJ90" s="541">
        <v>1881</v>
      </c>
      <c r="AK90" s="541">
        <v>0</v>
      </c>
      <c r="AL90" s="541">
        <v>0</v>
      </c>
      <c r="AM90" s="541">
        <v>0</v>
      </c>
      <c r="AN90" s="541">
        <v>0</v>
      </c>
      <c r="AO90" s="541">
        <v>0</v>
      </c>
      <c r="AP90" s="541">
        <v>0</v>
      </c>
      <c r="AQ90" s="541">
        <v>0</v>
      </c>
      <c r="AR90" s="541">
        <v>0</v>
      </c>
      <c r="AS90" s="541">
        <v>0</v>
      </c>
      <c r="AT90" s="543">
        <v>5560</v>
      </c>
      <c r="AU90" s="541">
        <v>0</v>
      </c>
      <c r="AV90" s="541">
        <v>2598.75</v>
      </c>
      <c r="AW90" s="541">
        <v>0</v>
      </c>
      <c r="AX90" s="541">
        <v>7467.5</v>
      </c>
      <c r="AY90" s="541">
        <v>2598.75</v>
      </c>
      <c r="AZ90" s="541">
        <v>0</v>
      </c>
      <c r="BA90" s="541">
        <v>0</v>
      </c>
      <c r="BB90" s="541">
        <v>0</v>
      </c>
      <c r="BC90" s="544">
        <v>304811.68864188867</v>
      </c>
      <c r="BD90" s="544">
        <v>304811.68864188867</v>
      </c>
      <c r="BE90" s="511"/>
      <c r="BF90" s="565">
        <v>205671</v>
      </c>
      <c r="BG90" s="565">
        <v>99140.688641888642</v>
      </c>
      <c r="BH90" s="565">
        <v>0</v>
      </c>
      <c r="BI90" s="565">
        <v>0</v>
      </c>
      <c r="BJ90" s="565">
        <v>304811.68864188867</v>
      </c>
      <c r="BK90" s="565">
        <v>0</v>
      </c>
      <c r="BL90" s="511"/>
      <c r="BM90" s="565">
        <v>138845</v>
      </c>
      <c r="BN90" s="565">
        <v>0</v>
      </c>
    </row>
    <row r="91" spans="1:66" ht="13.2" x14ac:dyDescent="0.25">
      <c r="A91" s="515" t="s">
        <v>618</v>
      </c>
      <c r="B91" s="517">
        <v>2474</v>
      </c>
      <c r="C91" s="517" t="s">
        <v>277</v>
      </c>
      <c r="D91" s="517" t="s">
        <v>36</v>
      </c>
      <c r="E91" s="518" t="s">
        <v>703</v>
      </c>
      <c r="F91" s="540"/>
      <c r="G91" s="540"/>
      <c r="H91" s="540"/>
      <c r="I91" s="540">
        <v>0</v>
      </c>
      <c r="J91" s="540">
        <v>5061</v>
      </c>
      <c r="K91" s="540">
        <v>10300</v>
      </c>
      <c r="L91" s="541">
        <v>20600</v>
      </c>
      <c r="M91" s="541" t="s">
        <v>1476</v>
      </c>
      <c r="N91" s="541">
        <v>0</v>
      </c>
      <c r="O91" s="541">
        <v>0</v>
      </c>
      <c r="P91" s="541">
        <v>0</v>
      </c>
      <c r="Q91" s="541">
        <v>0</v>
      </c>
      <c r="R91" s="541">
        <v>0</v>
      </c>
      <c r="S91" s="542" t="s">
        <v>1476</v>
      </c>
      <c r="T91" s="541">
        <v>44048.75</v>
      </c>
      <c r="U91" s="541">
        <v>44048.75</v>
      </c>
      <c r="V91" s="541">
        <v>44048.75</v>
      </c>
      <c r="W91" s="541">
        <v>44048.75</v>
      </c>
      <c r="X91" s="543" t="s">
        <v>1476</v>
      </c>
      <c r="Y91" s="541">
        <v>0</v>
      </c>
      <c r="Z91" s="541">
        <v>19568</v>
      </c>
      <c r="AA91" s="541">
        <v>0</v>
      </c>
      <c r="AB91" s="541">
        <v>0</v>
      </c>
      <c r="AC91" s="541">
        <v>0</v>
      </c>
      <c r="AD91" s="541">
        <v>0</v>
      </c>
      <c r="AE91" s="541">
        <v>0</v>
      </c>
      <c r="AF91" s="541">
        <v>0</v>
      </c>
      <c r="AG91" s="541">
        <v>0</v>
      </c>
      <c r="AH91" s="541">
        <v>56112</v>
      </c>
      <c r="AI91" s="541">
        <v>0</v>
      </c>
      <c r="AJ91" s="541">
        <v>0</v>
      </c>
      <c r="AK91" s="541">
        <v>0</v>
      </c>
      <c r="AL91" s="541">
        <v>0</v>
      </c>
      <c r="AM91" s="541">
        <v>0</v>
      </c>
      <c r="AN91" s="541">
        <v>0</v>
      </c>
      <c r="AO91" s="541">
        <v>0</v>
      </c>
      <c r="AP91" s="541">
        <v>0</v>
      </c>
      <c r="AQ91" s="541">
        <v>0</v>
      </c>
      <c r="AR91" s="541">
        <v>0</v>
      </c>
      <c r="AS91" s="541">
        <v>0</v>
      </c>
      <c r="AT91" s="543">
        <v>14000</v>
      </c>
      <c r="AU91" s="541">
        <v>0</v>
      </c>
      <c r="AV91" s="541">
        <v>4075.3125000000005</v>
      </c>
      <c r="AW91" s="541">
        <v>0</v>
      </c>
      <c r="AX91" s="541">
        <v>9497.5</v>
      </c>
      <c r="AY91" s="541">
        <v>4075.3125000000005</v>
      </c>
      <c r="AZ91" s="541">
        <v>0</v>
      </c>
      <c r="BA91" s="541">
        <v>0</v>
      </c>
      <c r="BB91" s="541">
        <v>0</v>
      </c>
      <c r="BC91" s="544">
        <v>319484.125</v>
      </c>
      <c r="BD91" s="544">
        <v>319484.125</v>
      </c>
      <c r="BE91" s="511"/>
      <c r="BF91" s="565">
        <v>283523.125</v>
      </c>
      <c r="BG91" s="565">
        <v>35961</v>
      </c>
      <c r="BH91" s="565">
        <v>0</v>
      </c>
      <c r="BI91" s="565">
        <v>0</v>
      </c>
      <c r="BJ91" s="565">
        <v>319484.125</v>
      </c>
      <c r="BK91" s="565">
        <v>0</v>
      </c>
      <c r="BL91" s="511"/>
      <c r="BM91" s="565">
        <v>176195</v>
      </c>
      <c r="BN91" s="565">
        <v>0</v>
      </c>
    </row>
    <row r="92" spans="1:66" ht="13.2" x14ac:dyDescent="0.25">
      <c r="A92" s="515" t="s">
        <v>614</v>
      </c>
      <c r="B92" s="517">
        <v>2288</v>
      </c>
      <c r="C92" s="517" t="s">
        <v>279</v>
      </c>
      <c r="D92" s="517" t="s">
        <v>36</v>
      </c>
      <c r="E92" s="518" t="s">
        <v>704</v>
      </c>
      <c r="F92" s="540"/>
      <c r="G92" s="540"/>
      <c r="H92" s="540"/>
      <c r="I92" s="540">
        <v>3858.333333333333</v>
      </c>
      <c r="J92" s="540">
        <v>8177.0565555555559</v>
      </c>
      <c r="K92" s="540">
        <v>12737.793249999999</v>
      </c>
      <c r="L92" s="541">
        <v>46546.333333333336</v>
      </c>
      <c r="M92" s="541" t="s">
        <v>1476</v>
      </c>
      <c r="N92" s="541">
        <v>0</v>
      </c>
      <c r="O92" s="541">
        <v>0</v>
      </c>
      <c r="P92" s="541">
        <v>0</v>
      </c>
      <c r="Q92" s="541">
        <v>48960.237891747813</v>
      </c>
      <c r="R92" s="541">
        <v>39168.190313398249</v>
      </c>
      <c r="S92" s="542">
        <v>35844.519999999997</v>
      </c>
      <c r="T92" s="541">
        <v>45807.5</v>
      </c>
      <c r="U92" s="541">
        <v>45807.5</v>
      </c>
      <c r="V92" s="541">
        <v>45807.5</v>
      </c>
      <c r="W92" s="541">
        <v>45807.5</v>
      </c>
      <c r="X92" s="543" t="s">
        <v>1476</v>
      </c>
      <c r="Y92" s="541">
        <v>0</v>
      </c>
      <c r="Z92" s="541">
        <v>19465</v>
      </c>
      <c r="AA92" s="541">
        <v>0</v>
      </c>
      <c r="AB92" s="541">
        <v>0</v>
      </c>
      <c r="AC92" s="541">
        <v>0</v>
      </c>
      <c r="AD92" s="541">
        <v>0</v>
      </c>
      <c r="AE92" s="541">
        <v>19680</v>
      </c>
      <c r="AF92" s="541">
        <v>0</v>
      </c>
      <c r="AG92" s="541">
        <v>0</v>
      </c>
      <c r="AH92" s="541">
        <v>51907</v>
      </c>
      <c r="AI92" s="541">
        <v>0</v>
      </c>
      <c r="AJ92" s="541">
        <v>0</v>
      </c>
      <c r="AK92" s="541">
        <v>0</v>
      </c>
      <c r="AL92" s="541">
        <v>0</v>
      </c>
      <c r="AM92" s="541">
        <v>0</v>
      </c>
      <c r="AN92" s="541">
        <v>0</v>
      </c>
      <c r="AO92" s="541">
        <v>0</v>
      </c>
      <c r="AP92" s="541">
        <v>0</v>
      </c>
      <c r="AQ92" s="541">
        <v>0</v>
      </c>
      <c r="AR92" s="541">
        <v>0</v>
      </c>
      <c r="AS92" s="541">
        <v>0</v>
      </c>
      <c r="AT92" s="543">
        <v>14300</v>
      </c>
      <c r="AU92" s="541">
        <v>0</v>
      </c>
      <c r="AV92" s="541">
        <v>4370.625</v>
      </c>
      <c r="AW92" s="541">
        <v>0</v>
      </c>
      <c r="AX92" s="541">
        <v>9715</v>
      </c>
      <c r="AY92" s="541">
        <v>4370.625</v>
      </c>
      <c r="AZ92" s="541">
        <v>0</v>
      </c>
      <c r="BA92" s="541">
        <v>0</v>
      </c>
      <c r="BB92" s="541">
        <v>0</v>
      </c>
      <c r="BC92" s="544">
        <v>502330.71467736829</v>
      </c>
      <c r="BD92" s="544">
        <v>502330.71467736829</v>
      </c>
      <c r="BE92" s="511"/>
      <c r="BF92" s="565">
        <v>287358.25</v>
      </c>
      <c r="BG92" s="565">
        <v>195292.46467736829</v>
      </c>
      <c r="BH92" s="565">
        <v>19680</v>
      </c>
      <c r="BI92" s="565">
        <v>0</v>
      </c>
      <c r="BJ92" s="565">
        <v>502330.71467736829</v>
      </c>
      <c r="BK92" s="565">
        <v>0</v>
      </c>
      <c r="BL92" s="511"/>
      <c r="BM92" s="565">
        <v>183230</v>
      </c>
      <c r="BN92" s="565">
        <v>123972.94820514607</v>
      </c>
    </row>
    <row r="93" spans="1:66" ht="13.2" x14ac:dyDescent="0.25">
      <c r="A93" s="515" t="s">
        <v>618</v>
      </c>
      <c r="B93" s="517">
        <v>3317</v>
      </c>
      <c r="C93" s="517" t="s">
        <v>281</v>
      </c>
      <c r="D93" s="517" t="s">
        <v>36</v>
      </c>
      <c r="E93" s="518" t="s">
        <v>705</v>
      </c>
      <c r="F93" s="540"/>
      <c r="G93" s="540"/>
      <c r="H93" s="540"/>
      <c r="I93" s="540">
        <v>9144.848750000001</v>
      </c>
      <c r="J93" s="540">
        <v>5408.183</v>
      </c>
      <c r="K93" s="540">
        <v>8706.1350000000002</v>
      </c>
      <c r="L93" s="541">
        <v>0</v>
      </c>
      <c r="M93" s="541" t="s">
        <v>1476</v>
      </c>
      <c r="N93" s="541">
        <v>0</v>
      </c>
      <c r="O93" s="541">
        <v>0</v>
      </c>
      <c r="P93" s="541">
        <v>0</v>
      </c>
      <c r="Q93" s="541">
        <v>0</v>
      </c>
      <c r="R93" s="541">
        <v>0</v>
      </c>
      <c r="S93" s="542" t="s">
        <v>1476</v>
      </c>
      <c r="T93" s="541">
        <v>26477.5</v>
      </c>
      <c r="U93" s="541">
        <v>26477.5</v>
      </c>
      <c r="V93" s="541">
        <v>26813.75</v>
      </c>
      <c r="W93" s="541">
        <v>27486.25</v>
      </c>
      <c r="X93" s="543" t="s">
        <v>1476</v>
      </c>
      <c r="Y93" s="541">
        <v>0</v>
      </c>
      <c r="Z93" s="541">
        <v>17781</v>
      </c>
      <c r="AA93" s="541">
        <v>0</v>
      </c>
      <c r="AB93" s="541">
        <v>0</v>
      </c>
      <c r="AC93" s="541">
        <v>0</v>
      </c>
      <c r="AD93" s="541">
        <v>0</v>
      </c>
      <c r="AE93" s="541">
        <v>0</v>
      </c>
      <c r="AF93" s="541">
        <v>0</v>
      </c>
      <c r="AG93" s="541">
        <v>0</v>
      </c>
      <c r="AH93" s="541">
        <v>19026</v>
      </c>
      <c r="AI93" s="541">
        <v>3454</v>
      </c>
      <c r="AJ93" s="541">
        <v>1222</v>
      </c>
      <c r="AK93" s="541">
        <v>0</v>
      </c>
      <c r="AL93" s="541">
        <v>0</v>
      </c>
      <c r="AM93" s="541">
        <v>0</v>
      </c>
      <c r="AN93" s="541">
        <v>0</v>
      </c>
      <c r="AO93" s="541">
        <v>0</v>
      </c>
      <c r="AP93" s="541">
        <v>0</v>
      </c>
      <c r="AQ93" s="541">
        <v>0</v>
      </c>
      <c r="AR93" s="541">
        <v>0</v>
      </c>
      <c r="AS93" s="541">
        <v>0</v>
      </c>
      <c r="AT93" s="543">
        <v>6600</v>
      </c>
      <c r="AU93" s="541">
        <v>0</v>
      </c>
      <c r="AV93" s="541">
        <v>2539.6875</v>
      </c>
      <c r="AW93" s="541">
        <v>0</v>
      </c>
      <c r="AX93" s="541">
        <v>5727.5</v>
      </c>
      <c r="AY93" s="541">
        <v>2657.8125</v>
      </c>
      <c r="AZ93" s="541">
        <v>0</v>
      </c>
      <c r="BA93" s="541">
        <v>0</v>
      </c>
      <c r="BB93" s="541">
        <v>0</v>
      </c>
      <c r="BC93" s="544">
        <v>189522.16675</v>
      </c>
      <c r="BD93" s="544">
        <v>189522.16675</v>
      </c>
      <c r="BE93" s="511"/>
      <c r="BF93" s="565">
        <v>166263</v>
      </c>
      <c r="BG93" s="565">
        <v>23259.166750000004</v>
      </c>
      <c r="BH93" s="565">
        <v>0</v>
      </c>
      <c r="BI93" s="565">
        <v>0</v>
      </c>
      <c r="BJ93" s="565">
        <v>189522.16675</v>
      </c>
      <c r="BK93" s="565">
        <v>0</v>
      </c>
      <c r="BL93" s="511"/>
      <c r="BM93" s="565">
        <v>107255</v>
      </c>
      <c r="BN93" s="565">
        <v>0</v>
      </c>
    </row>
    <row r="94" spans="1:66" ht="13.2" x14ac:dyDescent="0.25">
      <c r="A94" s="515" t="s">
        <v>616</v>
      </c>
      <c r="B94" s="517">
        <v>2015</v>
      </c>
      <c r="C94" s="517" t="s">
        <v>283</v>
      </c>
      <c r="D94" s="517" t="s">
        <v>107</v>
      </c>
      <c r="E94" s="518" t="s">
        <v>706</v>
      </c>
      <c r="F94" s="540"/>
      <c r="G94" s="540"/>
      <c r="H94" s="540"/>
      <c r="I94" s="540">
        <v>6913.369583333334</v>
      </c>
      <c r="J94" s="540">
        <v>6989.0289999999995</v>
      </c>
      <c r="K94" s="540">
        <v>21898.024250000002</v>
      </c>
      <c r="L94" s="541">
        <v>5476.3333333333339</v>
      </c>
      <c r="M94" s="541" t="s">
        <v>1476</v>
      </c>
      <c r="N94" s="541">
        <v>0</v>
      </c>
      <c r="O94" s="541">
        <v>0</v>
      </c>
      <c r="P94" s="541">
        <v>0</v>
      </c>
      <c r="Q94" s="541">
        <v>0</v>
      </c>
      <c r="R94" s="541">
        <v>0</v>
      </c>
      <c r="S94" s="542" t="s">
        <v>1476</v>
      </c>
      <c r="T94" s="541">
        <v>54722.5</v>
      </c>
      <c r="U94" s="541">
        <v>54722.5</v>
      </c>
      <c r="V94" s="541">
        <v>54722.5</v>
      </c>
      <c r="W94" s="541">
        <v>54722.5</v>
      </c>
      <c r="X94" s="543" t="s">
        <v>1476</v>
      </c>
      <c r="Y94" s="541">
        <v>0</v>
      </c>
      <c r="Z94" s="541">
        <v>19459</v>
      </c>
      <c r="AA94" s="541">
        <v>0</v>
      </c>
      <c r="AB94" s="541">
        <v>0</v>
      </c>
      <c r="AC94" s="541">
        <v>0</v>
      </c>
      <c r="AD94" s="541">
        <v>0</v>
      </c>
      <c r="AE94" s="541">
        <v>0</v>
      </c>
      <c r="AF94" s="541">
        <v>0</v>
      </c>
      <c r="AG94" s="541">
        <v>0</v>
      </c>
      <c r="AH94" s="541">
        <v>42330</v>
      </c>
      <c r="AI94" s="541">
        <v>9034</v>
      </c>
      <c r="AJ94" s="541">
        <v>3197</v>
      </c>
      <c r="AK94" s="541">
        <v>0</v>
      </c>
      <c r="AL94" s="541">
        <v>0</v>
      </c>
      <c r="AM94" s="541">
        <v>0</v>
      </c>
      <c r="AN94" s="541">
        <v>0</v>
      </c>
      <c r="AO94" s="541">
        <v>0</v>
      </c>
      <c r="AP94" s="541">
        <v>8925</v>
      </c>
      <c r="AQ94" s="541">
        <v>0</v>
      </c>
      <c r="AR94" s="541">
        <v>0</v>
      </c>
      <c r="AS94" s="541">
        <v>0</v>
      </c>
      <c r="AT94" s="543">
        <v>13660</v>
      </c>
      <c r="AU94" s="541">
        <v>0</v>
      </c>
      <c r="AV94" s="541">
        <v>5079.375</v>
      </c>
      <c r="AW94" s="541">
        <v>0</v>
      </c>
      <c r="AX94" s="541">
        <v>11745</v>
      </c>
      <c r="AY94" s="541">
        <v>5079.375</v>
      </c>
      <c r="AZ94" s="541">
        <v>0</v>
      </c>
      <c r="BA94" s="541">
        <v>0</v>
      </c>
      <c r="BB94" s="541">
        <v>0</v>
      </c>
      <c r="BC94" s="544">
        <v>378675.50616666669</v>
      </c>
      <c r="BD94" s="544">
        <v>378675.50616666669</v>
      </c>
      <c r="BE94" s="511"/>
      <c r="BF94" s="565">
        <v>337398.75</v>
      </c>
      <c r="BG94" s="565">
        <v>41276.756166666673</v>
      </c>
      <c r="BH94" s="565">
        <v>0</v>
      </c>
      <c r="BI94" s="565">
        <v>0</v>
      </c>
      <c r="BJ94" s="565">
        <v>378675.50616666669</v>
      </c>
      <c r="BK94" s="565">
        <v>0</v>
      </c>
      <c r="BL94" s="511"/>
      <c r="BM94" s="565">
        <v>218890</v>
      </c>
      <c r="BN94" s="565">
        <v>0</v>
      </c>
    </row>
    <row r="95" spans="1:66" ht="13.2" x14ac:dyDescent="0.25">
      <c r="A95" s="515" t="s">
        <v>618</v>
      </c>
      <c r="B95" s="517">
        <v>3352</v>
      </c>
      <c r="C95" s="517" t="s">
        <v>285</v>
      </c>
      <c r="D95" s="517" t="s">
        <v>36</v>
      </c>
      <c r="E95" s="518" t="s">
        <v>707</v>
      </c>
      <c r="F95" s="540"/>
      <c r="G95" s="540"/>
      <c r="H95" s="540"/>
      <c r="I95" s="540">
        <v>276.16779061838201</v>
      </c>
      <c r="J95" s="540">
        <v>220.93423249470561</v>
      </c>
      <c r="K95" s="540">
        <v>12515.6975</v>
      </c>
      <c r="L95" s="541">
        <v>0</v>
      </c>
      <c r="M95" s="541" t="s">
        <v>1476</v>
      </c>
      <c r="N95" s="541">
        <v>0</v>
      </c>
      <c r="O95" s="541">
        <v>0</v>
      </c>
      <c r="P95" s="541">
        <v>0</v>
      </c>
      <c r="Q95" s="541">
        <v>0</v>
      </c>
      <c r="R95" s="541">
        <v>0</v>
      </c>
      <c r="S95" s="542" t="s">
        <v>1476</v>
      </c>
      <c r="T95" s="541">
        <v>21856.25</v>
      </c>
      <c r="U95" s="541">
        <v>21856.25</v>
      </c>
      <c r="V95" s="541">
        <v>21520</v>
      </c>
      <c r="W95" s="541">
        <v>20847.5</v>
      </c>
      <c r="X95" s="543" t="s">
        <v>1476</v>
      </c>
      <c r="Y95" s="541">
        <v>0</v>
      </c>
      <c r="Z95" s="541">
        <v>17786</v>
      </c>
      <c r="AA95" s="541">
        <v>0</v>
      </c>
      <c r="AB95" s="541">
        <v>0</v>
      </c>
      <c r="AC95" s="541">
        <v>0</v>
      </c>
      <c r="AD95" s="541">
        <v>0</v>
      </c>
      <c r="AE95" s="541">
        <v>0</v>
      </c>
      <c r="AF95" s="541">
        <v>0</v>
      </c>
      <c r="AG95" s="541">
        <v>0</v>
      </c>
      <c r="AH95" s="541">
        <v>24398</v>
      </c>
      <c r="AI95" s="541">
        <v>3322</v>
      </c>
      <c r="AJ95" s="541">
        <v>1176</v>
      </c>
      <c r="AK95" s="541">
        <v>0</v>
      </c>
      <c r="AL95" s="541">
        <v>0</v>
      </c>
      <c r="AM95" s="541">
        <v>0</v>
      </c>
      <c r="AN95" s="541">
        <v>0</v>
      </c>
      <c r="AO95" s="541">
        <v>0</v>
      </c>
      <c r="AP95" s="541">
        <v>0</v>
      </c>
      <c r="AQ95" s="541">
        <v>0</v>
      </c>
      <c r="AR95" s="541">
        <v>0</v>
      </c>
      <c r="AS95" s="541">
        <v>0</v>
      </c>
      <c r="AT95" s="543">
        <v>7030</v>
      </c>
      <c r="AU95" s="541">
        <v>0</v>
      </c>
      <c r="AV95" s="541">
        <v>2067.1875</v>
      </c>
      <c r="AW95" s="541">
        <v>0</v>
      </c>
      <c r="AX95" s="541">
        <v>4640</v>
      </c>
      <c r="AY95" s="541">
        <v>1949.0625000000005</v>
      </c>
      <c r="AZ95" s="541">
        <v>0</v>
      </c>
      <c r="BA95" s="541">
        <v>0</v>
      </c>
      <c r="BB95" s="541">
        <v>0</v>
      </c>
      <c r="BC95" s="544">
        <v>161461.04952311309</v>
      </c>
      <c r="BD95" s="544">
        <v>161461.04952311309</v>
      </c>
      <c r="BE95" s="511"/>
      <c r="BF95" s="565">
        <v>148448.25</v>
      </c>
      <c r="BG95" s="565">
        <v>13012.799523113088</v>
      </c>
      <c r="BH95" s="565">
        <v>0</v>
      </c>
      <c r="BI95" s="565">
        <v>0</v>
      </c>
      <c r="BJ95" s="565">
        <v>161461.04952311309</v>
      </c>
      <c r="BK95" s="565">
        <v>0</v>
      </c>
      <c r="BL95" s="511"/>
      <c r="BM95" s="565">
        <v>86080</v>
      </c>
      <c r="BN95" s="565">
        <v>0</v>
      </c>
    </row>
    <row r="96" spans="1:66" ht="13.2" x14ac:dyDescent="0.25">
      <c r="A96" s="515" t="s">
        <v>618</v>
      </c>
      <c r="B96" s="517">
        <v>2005</v>
      </c>
      <c r="C96" s="517" t="s">
        <v>287</v>
      </c>
      <c r="D96" s="517" t="s">
        <v>36</v>
      </c>
      <c r="E96" s="518" t="s">
        <v>708</v>
      </c>
      <c r="F96" s="540"/>
      <c r="G96" s="540"/>
      <c r="H96" s="540"/>
      <c r="I96" s="540">
        <v>10873.416666666666</v>
      </c>
      <c r="J96" s="540">
        <v>10235.756666666666</v>
      </c>
      <c r="K96" s="540">
        <v>10141.234166666667</v>
      </c>
      <c r="L96" s="541">
        <v>5605</v>
      </c>
      <c r="M96" s="541" t="s">
        <v>1476</v>
      </c>
      <c r="N96" s="541">
        <v>0</v>
      </c>
      <c r="O96" s="541">
        <v>0</v>
      </c>
      <c r="P96" s="541">
        <v>0</v>
      </c>
      <c r="Q96" s="541">
        <v>42128.052083333328</v>
      </c>
      <c r="R96" s="541">
        <v>33702.441666666666</v>
      </c>
      <c r="S96" s="542">
        <v>19219.650000000001</v>
      </c>
      <c r="T96" s="541">
        <v>45195</v>
      </c>
      <c r="U96" s="541">
        <v>45195</v>
      </c>
      <c r="V96" s="541">
        <v>45195</v>
      </c>
      <c r="W96" s="541">
        <v>45195</v>
      </c>
      <c r="X96" s="543" t="s">
        <v>1476</v>
      </c>
      <c r="Y96" s="541">
        <v>0</v>
      </c>
      <c r="Z96" s="541">
        <v>21518</v>
      </c>
      <c r="AA96" s="541">
        <v>0</v>
      </c>
      <c r="AB96" s="541">
        <v>0</v>
      </c>
      <c r="AC96" s="541">
        <v>0</v>
      </c>
      <c r="AD96" s="541">
        <v>0</v>
      </c>
      <c r="AE96" s="541">
        <v>14056.88</v>
      </c>
      <c r="AF96" s="541">
        <v>0</v>
      </c>
      <c r="AG96" s="541">
        <v>0</v>
      </c>
      <c r="AH96" s="541">
        <v>85104</v>
      </c>
      <c r="AI96" s="541">
        <v>6776</v>
      </c>
      <c r="AJ96" s="541">
        <v>2398</v>
      </c>
      <c r="AK96" s="541">
        <v>0</v>
      </c>
      <c r="AL96" s="541">
        <v>0</v>
      </c>
      <c r="AM96" s="541">
        <v>0</v>
      </c>
      <c r="AN96" s="541">
        <v>0</v>
      </c>
      <c r="AO96" s="541">
        <v>0</v>
      </c>
      <c r="AP96" s="541">
        <v>3049</v>
      </c>
      <c r="AQ96" s="541">
        <v>0</v>
      </c>
      <c r="AR96" s="541">
        <v>0</v>
      </c>
      <c r="AS96" s="541">
        <v>0</v>
      </c>
      <c r="AT96" s="543">
        <v>21830</v>
      </c>
      <c r="AU96" s="541">
        <v>0</v>
      </c>
      <c r="AV96" s="541">
        <v>4170.46875</v>
      </c>
      <c r="AW96" s="541">
        <v>0</v>
      </c>
      <c r="AX96" s="541">
        <v>9075</v>
      </c>
      <c r="AY96" s="541">
        <v>4170.46875</v>
      </c>
      <c r="AZ96" s="541">
        <v>0</v>
      </c>
      <c r="BA96" s="541">
        <v>0</v>
      </c>
      <c r="BB96" s="541">
        <v>0</v>
      </c>
      <c r="BC96" s="544">
        <v>484833.36875000002</v>
      </c>
      <c r="BD96" s="544">
        <v>484833.36875000002</v>
      </c>
      <c r="BE96" s="511"/>
      <c r="BF96" s="565">
        <v>338870.9375</v>
      </c>
      <c r="BG96" s="565">
        <v>131905.55124999999</v>
      </c>
      <c r="BH96" s="565">
        <v>14056.88</v>
      </c>
      <c r="BI96" s="565">
        <v>0</v>
      </c>
      <c r="BJ96" s="565">
        <v>484833.36875000002</v>
      </c>
      <c r="BK96" s="565">
        <v>0</v>
      </c>
      <c r="BL96" s="511"/>
      <c r="BM96" s="565">
        <v>180780</v>
      </c>
      <c r="BN96" s="565">
        <v>95050.143749999988</v>
      </c>
    </row>
    <row r="97" spans="1:66" ht="13.2" x14ac:dyDescent="0.25">
      <c r="A97" s="515" t="s">
        <v>614</v>
      </c>
      <c r="B97" s="517">
        <v>2118</v>
      </c>
      <c r="C97" s="517" t="s">
        <v>289</v>
      </c>
      <c r="D97" s="517" t="s">
        <v>36</v>
      </c>
      <c r="E97" s="518" t="s">
        <v>709</v>
      </c>
      <c r="F97" s="540"/>
      <c r="G97" s="540"/>
      <c r="H97" s="540"/>
      <c r="I97" s="540">
        <v>17340.887916666667</v>
      </c>
      <c r="J97" s="540">
        <v>10189.976999999999</v>
      </c>
      <c r="K97" s="540">
        <v>14015.901916666666</v>
      </c>
      <c r="L97" s="541">
        <v>8000</v>
      </c>
      <c r="M97" s="541" t="s">
        <v>1476</v>
      </c>
      <c r="N97" s="541">
        <v>0</v>
      </c>
      <c r="O97" s="541">
        <v>0</v>
      </c>
      <c r="P97" s="541">
        <v>0</v>
      </c>
      <c r="Q97" s="541">
        <v>0</v>
      </c>
      <c r="R97" s="541">
        <v>0</v>
      </c>
      <c r="S97" s="542" t="s">
        <v>1476</v>
      </c>
      <c r="T97" s="541">
        <v>40160</v>
      </c>
      <c r="U97" s="541">
        <v>40160</v>
      </c>
      <c r="V97" s="541">
        <v>40160</v>
      </c>
      <c r="W97" s="541">
        <v>40160</v>
      </c>
      <c r="X97" s="543" t="s">
        <v>1476</v>
      </c>
      <c r="Y97" s="541">
        <v>0</v>
      </c>
      <c r="Z97" s="541">
        <v>19525</v>
      </c>
      <c r="AA97" s="541">
        <v>0</v>
      </c>
      <c r="AB97" s="541">
        <v>0</v>
      </c>
      <c r="AC97" s="541">
        <v>0</v>
      </c>
      <c r="AD97" s="541">
        <v>0</v>
      </c>
      <c r="AE97" s="541">
        <v>0</v>
      </c>
      <c r="AF97" s="541">
        <v>0</v>
      </c>
      <c r="AG97" s="541">
        <v>0</v>
      </c>
      <c r="AH97" s="541">
        <v>51741</v>
      </c>
      <c r="AI97" s="541">
        <v>0</v>
      </c>
      <c r="AJ97" s="541">
        <v>0</v>
      </c>
      <c r="AK97" s="541">
        <v>0</v>
      </c>
      <c r="AL97" s="541">
        <v>0</v>
      </c>
      <c r="AM97" s="541">
        <v>0</v>
      </c>
      <c r="AN97" s="541">
        <v>0</v>
      </c>
      <c r="AO97" s="541">
        <v>0</v>
      </c>
      <c r="AP97" s="541">
        <v>0</v>
      </c>
      <c r="AQ97" s="541">
        <v>0</v>
      </c>
      <c r="AR97" s="541">
        <v>1200</v>
      </c>
      <c r="AS97" s="541">
        <v>0</v>
      </c>
      <c r="AT97" s="543">
        <v>13760</v>
      </c>
      <c r="AU97" s="541">
        <v>0</v>
      </c>
      <c r="AV97" s="541">
        <v>3543.75</v>
      </c>
      <c r="AW97" s="541">
        <v>0</v>
      </c>
      <c r="AX97" s="541">
        <v>8410</v>
      </c>
      <c r="AY97" s="541">
        <v>3543.75</v>
      </c>
      <c r="AZ97" s="541">
        <v>0</v>
      </c>
      <c r="BA97" s="541">
        <v>0</v>
      </c>
      <c r="BB97" s="541">
        <v>0</v>
      </c>
      <c r="BC97" s="544">
        <v>311910.2668333333</v>
      </c>
      <c r="BD97" s="544">
        <v>311910.2668333333</v>
      </c>
      <c r="BE97" s="511"/>
      <c r="BF97" s="565">
        <v>262363.5</v>
      </c>
      <c r="BG97" s="565">
        <v>49546.766833333328</v>
      </c>
      <c r="BH97" s="565">
        <v>0</v>
      </c>
      <c r="BI97" s="565">
        <v>0</v>
      </c>
      <c r="BJ97" s="565">
        <v>311910.2668333333</v>
      </c>
      <c r="BK97" s="565">
        <v>0</v>
      </c>
      <c r="BL97" s="511"/>
      <c r="BM97" s="565">
        <v>160640</v>
      </c>
      <c r="BN97" s="565">
        <v>0</v>
      </c>
    </row>
    <row r="98" spans="1:66" ht="13.2" x14ac:dyDescent="0.25">
      <c r="A98" s="515" t="s">
        <v>618</v>
      </c>
      <c r="B98" s="517">
        <v>2115</v>
      </c>
      <c r="C98" s="517" t="s">
        <v>291</v>
      </c>
      <c r="D98" s="517" t="s">
        <v>36</v>
      </c>
      <c r="E98" s="518" t="s">
        <v>710</v>
      </c>
      <c r="F98" s="540"/>
      <c r="G98" s="540"/>
      <c r="H98" s="540"/>
      <c r="I98" s="540">
        <v>7654.375</v>
      </c>
      <c r="J98" s="540">
        <v>16302.633333333335</v>
      </c>
      <c r="K98" s="540">
        <v>10966.225</v>
      </c>
      <c r="L98" s="541">
        <v>14000</v>
      </c>
      <c r="M98" s="541" t="s">
        <v>1476</v>
      </c>
      <c r="N98" s="541">
        <v>0</v>
      </c>
      <c r="O98" s="541">
        <v>0</v>
      </c>
      <c r="P98" s="541">
        <v>0</v>
      </c>
      <c r="Q98" s="541">
        <v>0</v>
      </c>
      <c r="R98" s="541">
        <v>0</v>
      </c>
      <c r="S98" s="542" t="s">
        <v>1476</v>
      </c>
      <c r="T98" s="541">
        <v>60248.75</v>
      </c>
      <c r="U98" s="541">
        <v>60248.75</v>
      </c>
      <c r="V98" s="541">
        <v>59912.5</v>
      </c>
      <c r="W98" s="541">
        <v>59240</v>
      </c>
      <c r="X98" s="543" t="s">
        <v>1476</v>
      </c>
      <c r="Y98" s="541">
        <v>0</v>
      </c>
      <c r="Z98" s="541">
        <v>18636</v>
      </c>
      <c r="AA98" s="541">
        <v>0</v>
      </c>
      <c r="AB98" s="541">
        <v>0</v>
      </c>
      <c r="AC98" s="541">
        <v>0</v>
      </c>
      <c r="AD98" s="541">
        <v>0</v>
      </c>
      <c r="AE98" s="541">
        <v>0</v>
      </c>
      <c r="AF98" s="541">
        <v>0</v>
      </c>
      <c r="AG98" s="541">
        <v>0</v>
      </c>
      <c r="AH98" s="541">
        <v>30159</v>
      </c>
      <c r="AI98" s="541">
        <v>5049</v>
      </c>
      <c r="AJ98" s="541">
        <v>1786</v>
      </c>
      <c r="AK98" s="541">
        <v>0</v>
      </c>
      <c r="AL98" s="541">
        <v>0</v>
      </c>
      <c r="AM98" s="541">
        <v>0</v>
      </c>
      <c r="AN98" s="541">
        <v>0</v>
      </c>
      <c r="AO98" s="541">
        <v>0</v>
      </c>
      <c r="AP98" s="541">
        <v>0</v>
      </c>
      <c r="AQ98" s="541">
        <v>0</v>
      </c>
      <c r="AR98" s="541">
        <v>1200</v>
      </c>
      <c r="AS98" s="541">
        <v>0</v>
      </c>
      <c r="AT98" s="543">
        <v>10700</v>
      </c>
      <c r="AU98" s="541">
        <v>0</v>
      </c>
      <c r="AV98" s="541">
        <v>5492.8125</v>
      </c>
      <c r="AW98" s="541">
        <v>0</v>
      </c>
      <c r="AX98" s="541">
        <v>12760</v>
      </c>
      <c r="AY98" s="541">
        <v>5492.8125</v>
      </c>
      <c r="AZ98" s="541">
        <v>0</v>
      </c>
      <c r="BA98" s="541">
        <v>0</v>
      </c>
      <c r="BB98" s="541">
        <v>0</v>
      </c>
      <c r="BC98" s="544">
        <v>379848.85833333334</v>
      </c>
      <c r="BD98" s="544">
        <v>379848.85833333334</v>
      </c>
      <c r="BE98" s="511"/>
      <c r="BF98" s="565">
        <v>330925.625</v>
      </c>
      <c r="BG98" s="565">
        <v>48923.233333333337</v>
      </c>
      <c r="BH98" s="565">
        <v>0</v>
      </c>
      <c r="BI98" s="565">
        <v>0</v>
      </c>
      <c r="BJ98" s="565">
        <v>379848.85833333334</v>
      </c>
      <c r="BK98" s="565">
        <v>0</v>
      </c>
      <c r="BL98" s="511"/>
      <c r="BM98" s="565">
        <v>239650</v>
      </c>
      <c r="BN98" s="565">
        <v>0</v>
      </c>
    </row>
    <row r="99" spans="1:66" ht="13.2" x14ac:dyDescent="0.25">
      <c r="A99" s="515" t="s">
        <v>618</v>
      </c>
      <c r="B99" s="517">
        <v>2441</v>
      </c>
      <c r="C99" s="517" t="s">
        <v>293</v>
      </c>
      <c r="D99" s="517" t="s">
        <v>36</v>
      </c>
      <c r="E99" s="518" t="s">
        <v>711</v>
      </c>
      <c r="F99" s="540"/>
      <c r="G99" s="540"/>
      <c r="H99" s="540"/>
      <c r="I99" s="540">
        <v>3549.5833333333303</v>
      </c>
      <c r="J99" s="540">
        <v>11508.083333333334</v>
      </c>
      <c r="K99" s="540">
        <v>6595.4974999999995</v>
      </c>
      <c r="L99" s="541">
        <v>3047.6666666666665</v>
      </c>
      <c r="M99" s="541" t="s">
        <v>1476</v>
      </c>
      <c r="N99" s="541">
        <v>0</v>
      </c>
      <c r="O99" s="541">
        <v>0</v>
      </c>
      <c r="P99" s="541">
        <v>0</v>
      </c>
      <c r="Q99" s="541">
        <v>0</v>
      </c>
      <c r="R99" s="541">
        <v>0</v>
      </c>
      <c r="S99" s="542" t="s">
        <v>1476</v>
      </c>
      <c r="T99" s="541">
        <v>72630</v>
      </c>
      <c r="U99" s="541">
        <v>72630</v>
      </c>
      <c r="V99" s="541">
        <v>73975</v>
      </c>
      <c r="W99" s="541">
        <v>76665</v>
      </c>
      <c r="X99" s="543" t="s">
        <v>1476</v>
      </c>
      <c r="Y99" s="541">
        <v>0</v>
      </c>
      <c r="Z99" s="541">
        <v>19176</v>
      </c>
      <c r="AA99" s="541">
        <v>0</v>
      </c>
      <c r="AB99" s="541">
        <v>0</v>
      </c>
      <c r="AC99" s="541">
        <v>0</v>
      </c>
      <c r="AD99" s="541">
        <v>0</v>
      </c>
      <c r="AE99" s="541">
        <v>0</v>
      </c>
      <c r="AF99" s="541">
        <v>0</v>
      </c>
      <c r="AG99" s="541">
        <v>0</v>
      </c>
      <c r="AH99" s="541">
        <v>28288</v>
      </c>
      <c r="AI99" s="541">
        <v>3056</v>
      </c>
      <c r="AJ99" s="541">
        <v>1082</v>
      </c>
      <c r="AK99" s="541">
        <v>0</v>
      </c>
      <c r="AL99" s="541">
        <v>0</v>
      </c>
      <c r="AM99" s="541">
        <v>0</v>
      </c>
      <c r="AN99" s="541">
        <v>0</v>
      </c>
      <c r="AO99" s="541">
        <v>0</v>
      </c>
      <c r="AP99" s="541">
        <v>0</v>
      </c>
      <c r="AQ99" s="541">
        <v>0</v>
      </c>
      <c r="AR99" s="541">
        <v>0</v>
      </c>
      <c r="AS99" s="541">
        <v>0</v>
      </c>
      <c r="AT99" s="543">
        <v>12200</v>
      </c>
      <c r="AU99" s="541">
        <v>0</v>
      </c>
      <c r="AV99" s="541">
        <v>7500.9375000000009</v>
      </c>
      <c r="AW99" s="541">
        <v>0</v>
      </c>
      <c r="AX99" s="541">
        <v>15950</v>
      </c>
      <c r="AY99" s="541">
        <v>7737.1875000000009</v>
      </c>
      <c r="AZ99" s="541">
        <v>0</v>
      </c>
      <c r="BA99" s="541">
        <v>0</v>
      </c>
      <c r="BB99" s="541">
        <v>0</v>
      </c>
      <c r="BC99" s="544">
        <v>415590.95583333331</v>
      </c>
      <c r="BD99" s="544">
        <v>415590.95583333331</v>
      </c>
      <c r="BE99" s="511"/>
      <c r="BF99" s="565">
        <v>390890.125</v>
      </c>
      <c r="BG99" s="565">
        <v>24700.83083333333</v>
      </c>
      <c r="BH99" s="565">
        <v>0</v>
      </c>
      <c r="BI99" s="565">
        <v>0</v>
      </c>
      <c r="BJ99" s="565">
        <v>415590.95583333331</v>
      </c>
      <c r="BK99" s="565">
        <v>0</v>
      </c>
      <c r="BL99" s="511"/>
      <c r="BM99" s="565">
        <v>295900</v>
      </c>
      <c r="BN99" s="565">
        <v>0</v>
      </c>
    </row>
    <row r="100" spans="1:66" ht="13.2" x14ac:dyDescent="0.25">
      <c r="A100" s="515" t="s">
        <v>618</v>
      </c>
      <c r="B100" s="517">
        <v>2321</v>
      </c>
      <c r="C100" s="517" t="s">
        <v>295</v>
      </c>
      <c r="D100" s="517" t="s">
        <v>36</v>
      </c>
      <c r="E100" s="518" t="s">
        <v>712</v>
      </c>
      <c r="F100" s="540"/>
      <c r="G100" s="540"/>
      <c r="H100" s="540"/>
      <c r="I100" s="540">
        <v>4513.9833333333336</v>
      </c>
      <c r="J100" s="540">
        <v>24516.936666666668</v>
      </c>
      <c r="K100" s="540">
        <v>28837</v>
      </c>
      <c r="L100" s="541">
        <v>5933.3333333333339</v>
      </c>
      <c r="M100" s="541" t="s">
        <v>1476</v>
      </c>
      <c r="N100" s="541">
        <v>0</v>
      </c>
      <c r="O100" s="541">
        <v>0</v>
      </c>
      <c r="P100" s="541">
        <v>0</v>
      </c>
      <c r="Q100" s="541">
        <v>0</v>
      </c>
      <c r="R100" s="541">
        <v>0</v>
      </c>
      <c r="S100" s="542" t="s">
        <v>1476</v>
      </c>
      <c r="T100" s="541">
        <v>38246.25</v>
      </c>
      <c r="U100" s="541">
        <v>38246.25</v>
      </c>
      <c r="V100" s="541">
        <v>38246.25</v>
      </c>
      <c r="W100" s="541">
        <v>38246.25</v>
      </c>
      <c r="X100" s="543" t="s">
        <v>1476</v>
      </c>
      <c r="Y100" s="541">
        <v>0</v>
      </c>
      <c r="Z100" s="541">
        <v>17786</v>
      </c>
      <c r="AA100" s="541">
        <v>0</v>
      </c>
      <c r="AB100" s="541">
        <v>0</v>
      </c>
      <c r="AC100" s="541">
        <v>0</v>
      </c>
      <c r="AD100" s="541">
        <v>0</v>
      </c>
      <c r="AE100" s="541">
        <v>0</v>
      </c>
      <c r="AF100" s="541">
        <v>0</v>
      </c>
      <c r="AG100" s="541">
        <v>0</v>
      </c>
      <c r="AH100" s="541">
        <v>5243</v>
      </c>
      <c r="AI100" s="541">
        <v>2259</v>
      </c>
      <c r="AJ100" s="541">
        <v>799</v>
      </c>
      <c r="AK100" s="541">
        <v>0</v>
      </c>
      <c r="AL100" s="541">
        <v>0</v>
      </c>
      <c r="AM100" s="541">
        <v>0</v>
      </c>
      <c r="AN100" s="541">
        <v>0</v>
      </c>
      <c r="AO100" s="541">
        <v>0</v>
      </c>
      <c r="AP100" s="541">
        <v>0</v>
      </c>
      <c r="AQ100" s="541">
        <v>0</v>
      </c>
      <c r="AR100" s="541">
        <v>1200</v>
      </c>
      <c r="AS100" s="541">
        <v>0</v>
      </c>
      <c r="AT100" s="543">
        <v>6900</v>
      </c>
      <c r="AU100" s="541">
        <v>0</v>
      </c>
      <c r="AV100" s="541">
        <v>3307.5</v>
      </c>
      <c r="AW100" s="541">
        <v>0</v>
      </c>
      <c r="AX100" s="541">
        <v>8192.5</v>
      </c>
      <c r="AY100" s="541">
        <v>3307.5</v>
      </c>
      <c r="AZ100" s="541">
        <v>0</v>
      </c>
      <c r="BA100" s="541">
        <v>0</v>
      </c>
      <c r="BB100" s="541">
        <v>0</v>
      </c>
      <c r="BC100" s="544">
        <v>265780.7533333333</v>
      </c>
      <c r="BD100" s="544">
        <v>265780.7533333333</v>
      </c>
      <c r="BE100" s="511"/>
      <c r="BF100" s="565">
        <v>201979.5</v>
      </c>
      <c r="BG100" s="565">
        <v>63801.253333333334</v>
      </c>
      <c r="BH100" s="565">
        <v>0</v>
      </c>
      <c r="BI100" s="565">
        <v>0</v>
      </c>
      <c r="BJ100" s="565">
        <v>265780.75333333336</v>
      </c>
      <c r="BK100" s="565">
        <v>0</v>
      </c>
      <c r="BL100" s="511"/>
      <c r="BM100" s="565">
        <v>152985</v>
      </c>
      <c r="BN100" s="565">
        <v>0</v>
      </c>
    </row>
    <row r="101" spans="1:66" ht="13.2" x14ac:dyDescent="0.25">
      <c r="A101" s="515" t="s">
        <v>618</v>
      </c>
      <c r="B101" s="517">
        <v>2189</v>
      </c>
      <c r="C101" s="517" t="s">
        <v>297</v>
      </c>
      <c r="D101" s="517" t="s">
        <v>36</v>
      </c>
      <c r="E101" s="518" t="s">
        <v>713</v>
      </c>
      <c r="F101" s="540"/>
      <c r="G101" s="540"/>
      <c r="H101" s="540"/>
      <c r="I101" s="540">
        <v>12922.267083333332</v>
      </c>
      <c r="J101" s="540">
        <v>11862.813666666667</v>
      </c>
      <c r="K101" s="540">
        <v>9348.3102500000023</v>
      </c>
      <c r="L101" s="541">
        <v>0</v>
      </c>
      <c r="M101" s="541" t="s">
        <v>1476</v>
      </c>
      <c r="N101" s="541">
        <v>0</v>
      </c>
      <c r="O101" s="541">
        <v>0</v>
      </c>
      <c r="P101" s="541">
        <v>0</v>
      </c>
      <c r="Q101" s="541">
        <v>0</v>
      </c>
      <c r="R101" s="541">
        <v>0</v>
      </c>
      <c r="S101" s="542" t="s">
        <v>1476</v>
      </c>
      <c r="T101" s="541">
        <v>50773.75</v>
      </c>
      <c r="U101" s="541">
        <v>50773.75</v>
      </c>
      <c r="V101" s="541">
        <v>50773.75</v>
      </c>
      <c r="W101" s="541">
        <v>50773.75</v>
      </c>
      <c r="X101" s="543" t="s">
        <v>1476</v>
      </c>
      <c r="Y101" s="541">
        <v>0</v>
      </c>
      <c r="Z101" s="541">
        <v>19091</v>
      </c>
      <c r="AA101" s="541">
        <v>0</v>
      </c>
      <c r="AB101" s="541">
        <v>0</v>
      </c>
      <c r="AC101" s="541">
        <v>0</v>
      </c>
      <c r="AD101" s="541">
        <v>0</v>
      </c>
      <c r="AE101" s="541">
        <v>0</v>
      </c>
      <c r="AF101" s="541">
        <v>0</v>
      </c>
      <c r="AG101" s="541">
        <v>0</v>
      </c>
      <c r="AH101" s="541">
        <v>28751</v>
      </c>
      <c r="AI101" s="541">
        <v>3056</v>
      </c>
      <c r="AJ101" s="541">
        <v>1082</v>
      </c>
      <c r="AK101" s="541">
        <v>0</v>
      </c>
      <c r="AL101" s="541">
        <v>0</v>
      </c>
      <c r="AM101" s="541">
        <v>0</v>
      </c>
      <c r="AN101" s="541">
        <v>0</v>
      </c>
      <c r="AO101" s="541">
        <v>0</v>
      </c>
      <c r="AP101" s="541">
        <v>0</v>
      </c>
      <c r="AQ101" s="541">
        <v>0</v>
      </c>
      <c r="AR101" s="541">
        <v>1200</v>
      </c>
      <c r="AS101" s="541">
        <v>0</v>
      </c>
      <c r="AT101" s="543">
        <v>11100</v>
      </c>
      <c r="AU101" s="541">
        <v>0</v>
      </c>
      <c r="AV101" s="541">
        <v>5020.3125</v>
      </c>
      <c r="AW101" s="541">
        <v>0</v>
      </c>
      <c r="AX101" s="541">
        <v>10947.5</v>
      </c>
      <c r="AY101" s="541">
        <v>5020.3125</v>
      </c>
      <c r="AZ101" s="541">
        <v>0</v>
      </c>
      <c r="BA101" s="541">
        <v>0</v>
      </c>
      <c r="BB101" s="541">
        <v>0</v>
      </c>
      <c r="BC101" s="544">
        <v>322496.516</v>
      </c>
      <c r="BD101" s="544">
        <v>322496.516</v>
      </c>
      <c r="BE101" s="511"/>
      <c r="BF101" s="565">
        <v>288363.125</v>
      </c>
      <c r="BG101" s="565">
        <v>34133.391000000003</v>
      </c>
      <c r="BH101" s="565">
        <v>0</v>
      </c>
      <c r="BI101" s="565">
        <v>0</v>
      </c>
      <c r="BJ101" s="565">
        <v>322496.516</v>
      </c>
      <c r="BK101" s="565">
        <v>0</v>
      </c>
      <c r="BL101" s="511"/>
      <c r="BM101" s="565">
        <v>203095</v>
      </c>
      <c r="BN101" s="565">
        <v>0</v>
      </c>
    </row>
    <row r="102" spans="1:66" ht="13.2" x14ac:dyDescent="0.25">
      <c r="A102" s="515" t="s">
        <v>614</v>
      </c>
      <c r="B102" s="517">
        <v>2119</v>
      </c>
      <c r="C102" s="517" t="s">
        <v>299</v>
      </c>
      <c r="D102" s="517" t="s">
        <v>36</v>
      </c>
      <c r="E102" s="518" t="s">
        <v>714</v>
      </c>
      <c r="F102" s="540"/>
      <c r="G102" s="540"/>
      <c r="H102" s="540"/>
      <c r="I102" s="540">
        <v>23691.833333333336</v>
      </c>
      <c r="J102" s="540">
        <v>11700</v>
      </c>
      <c r="K102" s="540">
        <v>19375</v>
      </c>
      <c r="L102" s="541">
        <v>5521.3333333333339</v>
      </c>
      <c r="M102" s="541" t="s">
        <v>1476</v>
      </c>
      <c r="N102" s="541">
        <v>0</v>
      </c>
      <c r="O102" s="541">
        <v>0</v>
      </c>
      <c r="P102" s="541">
        <v>0</v>
      </c>
      <c r="Q102" s="541">
        <v>0</v>
      </c>
      <c r="R102" s="541">
        <v>0</v>
      </c>
      <c r="S102" s="542" t="s">
        <v>1476</v>
      </c>
      <c r="T102" s="541">
        <v>51782.5</v>
      </c>
      <c r="U102" s="541">
        <v>51782.5</v>
      </c>
      <c r="V102" s="541">
        <v>52118.75</v>
      </c>
      <c r="W102" s="541">
        <v>52791.25</v>
      </c>
      <c r="X102" s="543" t="s">
        <v>1476</v>
      </c>
      <c r="Y102" s="541">
        <v>0</v>
      </c>
      <c r="Z102" s="541">
        <v>19526</v>
      </c>
      <c r="AA102" s="541">
        <v>0</v>
      </c>
      <c r="AB102" s="541">
        <v>0</v>
      </c>
      <c r="AC102" s="541">
        <v>0</v>
      </c>
      <c r="AD102" s="541">
        <v>0</v>
      </c>
      <c r="AE102" s="541">
        <v>0</v>
      </c>
      <c r="AF102" s="541">
        <v>0</v>
      </c>
      <c r="AG102" s="541">
        <v>0</v>
      </c>
      <c r="AH102" s="541">
        <v>38051</v>
      </c>
      <c r="AI102" s="541">
        <v>4916</v>
      </c>
      <c r="AJ102" s="541">
        <v>1740</v>
      </c>
      <c r="AK102" s="541">
        <v>0</v>
      </c>
      <c r="AL102" s="541">
        <v>0</v>
      </c>
      <c r="AM102" s="541">
        <v>0</v>
      </c>
      <c r="AN102" s="541">
        <v>0</v>
      </c>
      <c r="AO102" s="541">
        <v>0</v>
      </c>
      <c r="AP102" s="541">
        <v>0</v>
      </c>
      <c r="AQ102" s="541">
        <v>0</v>
      </c>
      <c r="AR102" s="541">
        <v>0</v>
      </c>
      <c r="AS102" s="541">
        <v>0</v>
      </c>
      <c r="AT102" s="543">
        <v>13360</v>
      </c>
      <c r="AU102" s="541">
        <v>0</v>
      </c>
      <c r="AV102" s="541">
        <v>4902.1875</v>
      </c>
      <c r="AW102" s="541">
        <v>0</v>
      </c>
      <c r="AX102" s="541">
        <v>11237.5</v>
      </c>
      <c r="AY102" s="541">
        <v>4902.1875</v>
      </c>
      <c r="AZ102" s="541">
        <v>0</v>
      </c>
      <c r="BA102" s="541">
        <v>0</v>
      </c>
      <c r="BB102" s="541">
        <v>0</v>
      </c>
      <c r="BC102" s="544">
        <v>367398.04166666669</v>
      </c>
      <c r="BD102" s="544">
        <v>367398.04166666669</v>
      </c>
      <c r="BE102" s="511"/>
      <c r="BF102" s="565">
        <v>307109.875</v>
      </c>
      <c r="BG102" s="565">
        <v>60288.166666666672</v>
      </c>
      <c r="BH102" s="565">
        <v>0</v>
      </c>
      <c r="BI102" s="565">
        <v>0</v>
      </c>
      <c r="BJ102" s="565">
        <v>367398.04166666669</v>
      </c>
      <c r="BK102" s="565">
        <v>0</v>
      </c>
      <c r="BL102" s="511"/>
      <c r="BM102" s="565">
        <v>208475</v>
      </c>
      <c r="BN102" s="565">
        <v>0</v>
      </c>
    </row>
    <row r="103" spans="1:66" ht="13.2" x14ac:dyDescent="0.25">
      <c r="A103" s="515" t="s">
        <v>616</v>
      </c>
      <c r="B103" s="517">
        <v>2462</v>
      </c>
      <c r="C103" s="517" t="s">
        <v>301</v>
      </c>
      <c r="D103" s="517" t="s">
        <v>107</v>
      </c>
      <c r="E103" s="518" t="s">
        <v>715</v>
      </c>
      <c r="F103" s="540"/>
      <c r="G103" s="540"/>
      <c r="H103" s="540"/>
      <c r="I103" s="540">
        <v>4740.944583333333</v>
      </c>
      <c r="J103" s="540">
        <v>1229</v>
      </c>
      <c r="K103" s="540">
        <v>7121</v>
      </c>
      <c r="L103" s="541">
        <v>0</v>
      </c>
      <c r="M103" s="541" t="s">
        <v>1476</v>
      </c>
      <c r="N103" s="541">
        <v>0</v>
      </c>
      <c r="O103" s="541">
        <v>0</v>
      </c>
      <c r="P103" s="541">
        <v>0</v>
      </c>
      <c r="Q103" s="541">
        <v>0</v>
      </c>
      <c r="R103" s="541">
        <v>0</v>
      </c>
      <c r="S103" s="542" t="s">
        <v>1476</v>
      </c>
      <c r="T103" s="541">
        <v>7311.25</v>
      </c>
      <c r="U103" s="541">
        <v>7311.25</v>
      </c>
      <c r="V103" s="541">
        <v>7311.25</v>
      </c>
      <c r="W103" s="541">
        <v>7311.25</v>
      </c>
      <c r="X103" s="543" t="s">
        <v>1476</v>
      </c>
      <c r="Y103" s="541">
        <v>0</v>
      </c>
      <c r="Z103" s="541">
        <v>19626</v>
      </c>
      <c r="AA103" s="541">
        <v>0</v>
      </c>
      <c r="AB103" s="541">
        <v>0</v>
      </c>
      <c r="AC103" s="541">
        <v>0</v>
      </c>
      <c r="AD103" s="541">
        <v>0</v>
      </c>
      <c r="AE103" s="541">
        <v>0</v>
      </c>
      <c r="AF103" s="541">
        <v>0</v>
      </c>
      <c r="AG103" s="541">
        <v>0</v>
      </c>
      <c r="AH103" s="541">
        <v>79398</v>
      </c>
      <c r="AI103" s="541">
        <v>0</v>
      </c>
      <c r="AJ103" s="541">
        <v>0</v>
      </c>
      <c r="AK103" s="541">
        <v>0</v>
      </c>
      <c r="AL103" s="541">
        <v>0</v>
      </c>
      <c r="AM103" s="541">
        <v>0</v>
      </c>
      <c r="AN103" s="541">
        <v>0</v>
      </c>
      <c r="AO103" s="541">
        <v>0</v>
      </c>
      <c r="AP103" s="541">
        <v>0</v>
      </c>
      <c r="AQ103" s="541">
        <v>0</v>
      </c>
      <c r="AR103" s="541">
        <v>1200</v>
      </c>
      <c r="AS103" s="541">
        <v>0</v>
      </c>
      <c r="AT103" s="543">
        <v>14130</v>
      </c>
      <c r="AU103" s="541">
        <v>0</v>
      </c>
      <c r="AV103" s="541">
        <v>708.75</v>
      </c>
      <c r="AW103" s="541">
        <v>0</v>
      </c>
      <c r="AX103" s="541">
        <v>1522.5</v>
      </c>
      <c r="AY103" s="541">
        <v>708.75</v>
      </c>
      <c r="AZ103" s="541">
        <v>0</v>
      </c>
      <c r="BA103" s="541">
        <v>0</v>
      </c>
      <c r="BB103" s="541">
        <v>0</v>
      </c>
      <c r="BC103" s="544">
        <v>159629.94458333333</v>
      </c>
      <c r="BD103" s="544">
        <v>159629.94458333333</v>
      </c>
      <c r="BE103" s="511"/>
      <c r="BF103" s="565">
        <v>146539</v>
      </c>
      <c r="BG103" s="565">
        <v>13090.944583333334</v>
      </c>
      <c r="BH103" s="565">
        <v>0</v>
      </c>
      <c r="BI103" s="565">
        <v>0</v>
      </c>
      <c r="BJ103" s="565">
        <v>159629.94458333333</v>
      </c>
      <c r="BK103" s="565">
        <v>0</v>
      </c>
      <c r="BL103" s="511"/>
      <c r="BM103" s="565">
        <v>29245</v>
      </c>
      <c r="BN103" s="565">
        <v>0</v>
      </c>
    </row>
    <row r="104" spans="1:66" ht="13.2" x14ac:dyDescent="0.25">
      <c r="A104" s="515" t="s">
        <v>616</v>
      </c>
      <c r="B104" s="517">
        <v>2127</v>
      </c>
      <c r="C104" s="517" t="s">
        <v>303</v>
      </c>
      <c r="D104" s="517" t="s">
        <v>107</v>
      </c>
      <c r="E104" s="518" t="s">
        <v>716</v>
      </c>
      <c r="F104" s="540"/>
      <c r="G104" s="540"/>
      <c r="H104" s="540"/>
      <c r="I104" s="540">
        <v>16463.937751437206</v>
      </c>
      <c r="J104" s="540">
        <v>16776.750201149767</v>
      </c>
      <c r="K104" s="540">
        <v>41107.010999999999</v>
      </c>
      <c r="L104" s="541">
        <v>0</v>
      </c>
      <c r="M104" s="541" t="s">
        <v>1476</v>
      </c>
      <c r="N104" s="541">
        <v>0</v>
      </c>
      <c r="O104" s="541">
        <v>0</v>
      </c>
      <c r="P104" s="541">
        <v>0</v>
      </c>
      <c r="Q104" s="541">
        <v>0</v>
      </c>
      <c r="R104" s="541">
        <v>0</v>
      </c>
      <c r="S104" s="542" t="s">
        <v>1476</v>
      </c>
      <c r="T104" s="541">
        <v>72621.25</v>
      </c>
      <c r="U104" s="541">
        <v>72621.25</v>
      </c>
      <c r="V104" s="541">
        <v>72621.25</v>
      </c>
      <c r="W104" s="541">
        <v>72621.25</v>
      </c>
      <c r="X104" s="543" t="s">
        <v>1476</v>
      </c>
      <c r="Y104" s="541">
        <v>0</v>
      </c>
      <c r="Z104" s="541">
        <v>19584</v>
      </c>
      <c r="AA104" s="541">
        <v>0</v>
      </c>
      <c r="AB104" s="541">
        <v>0</v>
      </c>
      <c r="AC104" s="541">
        <v>0</v>
      </c>
      <c r="AD104" s="541">
        <v>0</v>
      </c>
      <c r="AE104" s="541">
        <v>0</v>
      </c>
      <c r="AF104" s="541">
        <v>0</v>
      </c>
      <c r="AG104" s="541">
        <v>0</v>
      </c>
      <c r="AH104" s="541">
        <v>32178</v>
      </c>
      <c r="AI104" s="541">
        <v>5314</v>
      </c>
      <c r="AJ104" s="541">
        <v>1881</v>
      </c>
      <c r="AK104" s="541">
        <v>0</v>
      </c>
      <c r="AL104" s="541">
        <v>0</v>
      </c>
      <c r="AM104" s="541">
        <v>0</v>
      </c>
      <c r="AN104" s="541">
        <v>0</v>
      </c>
      <c r="AO104" s="541">
        <v>0</v>
      </c>
      <c r="AP104" s="541">
        <v>0</v>
      </c>
      <c r="AQ104" s="541">
        <v>0</v>
      </c>
      <c r="AR104" s="541">
        <v>0</v>
      </c>
      <c r="AS104" s="541">
        <v>0</v>
      </c>
      <c r="AT104" s="543">
        <v>14000</v>
      </c>
      <c r="AU104" s="541">
        <v>0</v>
      </c>
      <c r="AV104" s="541">
        <v>15433.2875</v>
      </c>
      <c r="AW104" s="541">
        <v>0</v>
      </c>
      <c r="AX104" s="541">
        <v>15587.5</v>
      </c>
      <c r="AY104" s="541">
        <v>6792.1875</v>
      </c>
      <c r="AZ104" s="541">
        <v>0</v>
      </c>
      <c r="BA104" s="541">
        <v>0</v>
      </c>
      <c r="BB104" s="541">
        <v>0</v>
      </c>
      <c r="BC104" s="544">
        <v>475602.67395258695</v>
      </c>
      <c r="BD104" s="544">
        <v>475602.67395258695</v>
      </c>
      <c r="BE104" s="511"/>
      <c r="BF104" s="565">
        <v>401254.97499999998</v>
      </c>
      <c r="BG104" s="565">
        <v>74347.698952586972</v>
      </c>
      <c r="BH104" s="565">
        <v>0</v>
      </c>
      <c r="BI104" s="565">
        <v>0</v>
      </c>
      <c r="BJ104" s="565">
        <v>475602.67395258695</v>
      </c>
      <c r="BK104" s="565">
        <v>0</v>
      </c>
      <c r="BL104" s="511"/>
      <c r="BM104" s="565">
        <v>290485</v>
      </c>
      <c r="BN104" s="565">
        <v>0</v>
      </c>
    </row>
    <row r="105" spans="1:66" ht="13.2" x14ac:dyDescent="0.25">
      <c r="A105" s="515" t="s">
        <v>616</v>
      </c>
      <c r="B105" s="517">
        <v>2129</v>
      </c>
      <c r="C105" s="517" t="s">
        <v>305</v>
      </c>
      <c r="D105" s="517" t="s">
        <v>107</v>
      </c>
      <c r="E105" s="518" t="s">
        <v>717</v>
      </c>
      <c r="F105" s="540"/>
      <c r="G105" s="540"/>
      <c r="H105" s="540"/>
      <c r="I105" s="540">
        <v>1250</v>
      </c>
      <c r="J105" s="540">
        <v>3599.4380000000001</v>
      </c>
      <c r="K105" s="540">
        <v>1990.3274999999999</v>
      </c>
      <c r="L105" s="541">
        <v>16000</v>
      </c>
      <c r="M105" s="541" t="s">
        <v>1476</v>
      </c>
      <c r="N105" s="541">
        <v>0</v>
      </c>
      <c r="O105" s="541">
        <v>0</v>
      </c>
      <c r="P105" s="541">
        <v>0</v>
      </c>
      <c r="Q105" s="541">
        <v>29199.486827386176</v>
      </c>
      <c r="R105" s="541">
        <v>23359.589461908941</v>
      </c>
      <c r="S105" s="542">
        <v>50385.71</v>
      </c>
      <c r="T105" s="541">
        <v>21088.75</v>
      </c>
      <c r="U105" s="541">
        <v>21088.75</v>
      </c>
      <c r="V105" s="541">
        <v>21088.75</v>
      </c>
      <c r="W105" s="541">
        <v>21088.75</v>
      </c>
      <c r="X105" s="543" t="s">
        <v>1476</v>
      </c>
      <c r="Y105" s="541">
        <v>0</v>
      </c>
      <c r="Z105" s="541">
        <v>17859</v>
      </c>
      <c r="AA105" s="541">
        <v>0</v>
      </c>
      <c r="AB105" s="541">
        <v>0</v>
      </c>
      <c r="AC105" s="541">
        <v>0</v>
      </c>
      <c r="AD105" s="541">
        <v>0</v>
      </c>
      <c r="AE105" s="541">
        <v>0</v>
      </c>
      <c r="AF105" s="541">
        <v>0</v>
      </c>
      <c r="AG105" s="541">
        <v>0</v>
      </c>
      <c r="AH105" s="541">
        <v>73267</v>
      </c>
      <c r="AI105" s="541">
        <v>0</v>
      </c>
      <c r="AJ105" s="541">
        <v>0</v>
      </c>
      <c r="AK105" s="541">
        <v>0</v>
      </c>
      <c r="AL105" s="541">
        <v>0</v>
      </c>
      <c r="AM105" s="541">
        <v>0</v>
      </c>
      <c r="AN105" s="541">
        <v>0</v>
      </c>
      <c r="AO105" s="541">
        <v>0</v>
      </c>
      <c r="AP105" s="541">
        <v>0</v>
      </c>
      <c r="AQ105" s="541">
        <v>0</v>
      </c>
      <c r="AR105" s="541">
        <v>0</v>
      </c>
      <c r="AS105" s="541">
        <v>0</v>
      </c>
      <c r="AT105" s="543">
        <v>10230</v>
      </c>
      <c r="AU105" s="541">
        <v>0</v>
      </c>
      <c r="AV105" s="541">
        <v>1571.71875</v>
      </c>
      <c r="AW105" s="541">
        <v>0</v>
      </c>
      <c r="AX105" s="541">
        <v>4463</v>
      </c>
      <c r="AY105" s="541">
        <v>1571.71875</v>
      </c>
      <c r="AZ105" s="541">
        <v>0</v>
      </c>
      <c r="BA105" s="541">
        <v>0</v>
      </c>
      <c r="BB105" s="541">
        <v>0</v>
      </c>
      <c r="BC105" s="544">
        <v>319101.9892892951</v>
      </c>
      <c r="BD105" s="544">
        <v>319101.9892892951</v>
      </c>
      <c r="BE105" s="511"/>
      <c r="BF105" s="565">
        <v>193317.4375</v>
      </c>
      <c r="BG105" s="565">
        <v>125784.5517892951</v>
      </c>
      <c r="BH105" s="565">
        <v>0</v>
      </c>
      <c r="BI105" s="565">
        <v>0</v>
      </c>
      <c r="BJ105" s="565">
        <v>319101.9892892951</v>
      </c>
      <c r="BK105" s="565">
        <v>0</v>
      </c>
      <c r="BL105" s="511"/>
      <c r="BM105" s="565">
        <v>84355</v>
      </c>
      <c r="BN105" s="565">
        <v>102944.78628929512</v>
      </c>
    </row>
    <row r="106" spans="1:66" ht="13.2" x14ac:dyDescent="0.25">
      <c r="A106" s="515" t="s">
        <v>616</v>
      </c>
      <c r="B106" s="517">
        <v>2128</v>
      </c>
      <c r="C106" s="517" t="s">
        <v>307</v>
      </c>
      <c r="D106" s="517" t="s">
        <v>107</v>
      </c>
      <c r="E106" s="518" t="s">
        <v>718</v>
      </c>
      <c r="F106" s="540"/>
      <c r="G106" s="540"/>
      <c r="H106" s="540"/>
      <c r="I106" s="540">
        <v>0</v>
      </c>
      <c r="J106" s="540">
        <v>3200</v>
      </c>
      <c r="K106" s="540">
        <v>5700</v>
      </c>
      <c r="L106" s="541">
        <v>27437.333333333332</v>
      </c>
      <c r="M106" s="541" t="s">
        <v>1476</v>
      </c>
      <c r="N106" s="541">
        <v>0</v>
      </c>
      <c r="O106" s="541">
        <v>0</v>
      </c>
      <c r="P106" s="541">
        <v>0</v>
      </c>
      <c r="Q106" s="541">
        <v>56720.734547588836</v>
      </c>
      <c r="R106" s="541">
        <v>45376.587638071069</v>
      </c>
      <c r="S106" s="542">
        <v>20418.189999999999</v>
      </c>
      <c r="T106" s="541">
        <v>38668.75</v>
      </c>
      <c r="U106" s="541">
        <v>38668.75</v>
      </c>
      <c r="V106" s="541">
        <v>38668.75</v>
      </c>
      <c r="W106" s="541">
        <v>38668.75</v>
      </c>
      <c r="X106" s="543" t="s">
        <v>1476</v>
      </c>
      <c r="Y106" s="541">
        <v>0</v>
      </c>
      <c r="Z106" s="541">
        <v>19669</v>
      </c>
      <c r="AA106" s="541">
        <v>0</v>
      </c>
      <c r="AB106" s="541">
        <v>0</v>
      </c>
      <c r="AC106" s="541">
        <v>0</v>
      </c>
      <c r="AD106" s="541">
        <v>0</v>
      </c>
      <c r="AE106" s="541">
        <v>0</v>
      </c>
      <c r="AF106" s="541">
        <v>0</v>
      </c>
      <c r="AG106" s="541">
        <v>0</v>
      </c>
      <c r="AH106" s="541">
        <v>0</v>
      </c>
      <c r="AI106" s="541">
        <v>0</v>
      </c>
      <c r="AJ106" s="541">
        <v>0</v>
      </c>
      <c r="AK106" s="541">
        <v>0</v>
      </c>
      <c r="AL106" s="541">
        <v>0</v>
      </c>
      <c r="AM106" s="541">
        <v>0</v>
      </c>
      <c r="AN106" s="541">
        <v>0</v>
      </c>
      <c r="AO106" s="541">
        <v>0</v>
      </c>
      <c r="AP106" s="541">
        <v>0</v>
      </c>
      <c r="AQ106" s="541">
        <v>0</v>
      </c>
      <c r="AR106" s="541">
        <v>1200</v>
      </c>
      <c r="AS106" s="541">
        <v>0</v>
      </c>
      <c r="AT106" s="543">
        <v>13200</v>
      </c>
      <c r="AU106" s="541">
        <v>0</v>
      </c>
      <c r="AV106" s="541">
        <v>4265.625</v>
      </c>
      <c r="AW106" s="541">
        <v>0</v>
      </c>
      <c r="AX106" s="541">
        <v>8606.5</v>
      </c>
      <c r="AY106" s="541">
        <v>4265.625</v>
      </c>
      <c r="AZ106" s="541">
        <v>0</v>
      </c>
      <c r="BA106" s="541">
        <v>0</v>
      </c>
      <c r="BB106" s="541">
        <v>0</v>
      </c>
      <c r="BC106" s="544">
        <v>364734.59551899321</v>
      </c>
      <c r="BD106" s="544">
        <v>364734.59551899321</v>
      </c>
      <c r="BE106" s="511"/>
      <c r="BF106" s="565">
        <v>205881.75</v>
      </c>
      <c r="BG106" s="565">
        <v>158852.84551899324</v>
      </c>
      <c r="BH106" s="565">
        <v>0</v>
      </c>
      <c r="BI106" s="565">
        <v>0</v>
      </c>
      <c r="BJ106" s="565">
        <v>364734.59551899321</v>
      </c>
      <c r="BK106" s="565">
        <v>0</v>
      </c>
      <c r="BL106" s="511"/>
      <c r="BM106" s="565">
        <v>154675</v>
      </c>
      <c r="BN106" s="565">
        <v>122515.5121856599</v>
      </c>
    </row>
    <row r="107" spans="1:66" ht="13.2" x14ac:dyDescent="0.25">
      <c r="A107" s="515" t="s">
        <v>614</v>
      </c>
      <c r="B107" s="517">
        <v>2420</v>
      </c>
      <c r="C107" s="517" t="s">
        <v>309</v>
      </c>
      <c r="D107" s="517" t="s">
        <v>36</v>
      </c>
      <c r="E107" s="518" t="s">
        <v>719</v>
      </c>
      <c r="F107" s="540"/>
      <c r="G107" s="540"/>
      <c r="H107" s="540"/>
      <c r="I107" s="540">
        <v>14034.201666666666</v>
      </c>
      <c r="J107" s="540">
        <v>11658.845000000001</v>
      </c>
      <c r="K107" s="540">
        <v>18448.718499999999</v>
      </c>
      <c r="L107" s="541">
        <v>860.33500000000004</v>
      </c>
      <c r="M107" s="541" t="s">
        <v>1476</v>
      </c>
      <c r="N107" s="541">
        <v>0</v>
      </c>
      <c r="O107" s="541">
        <v>0</v>
      </c>
      <c r="P107" s="541">
        <v>0</v>
      </c>
      <c r="Q107" s="541">
        <v>0</v>
      </c>
      <c r="R107" s="541">
        <v>0</v>
      </c>
      <c r="S107" s="542" t="s">
        <v>1476</v>
      </c>
      <c r="T107" s="541">
        <v>7880</v>
      </c>
      <c r="U107" s="541">
        <v>7880</v>
      </c>
      <c r="V107" s="541">
        <v>7880</v>
      </c>
      <c r="W107" s="541">
        <v>7880</v>
      </c>
      <c r="X107" s="543" t="s">
        <v>1476</v>
      </c>
      <c r="Y107" s="541">
        <v>0</v>
      </c>
      <c r="Z107" s="541">
        <v>19181</v>
      </c>
      <c r="AA107" s="541">
        <v>0</v>
      </c>
      <c r="AB107" s="541">
        <v>0</v>
      </c>
      <c r="AC107" s="541">
        <v>0</v>
      </c>
      <c r="AD107" s="541">
        <v>0</v>
      </c>
      <c r="AE107" s="541">
        <v>0</v>
      </c>
      <c r="AF107" s="541">
        <v>0</v>
      </c>
      <c r="AG107" s="541">
        <v>0</v>
      </c>
      <c r="AH107" s="541">
        <v>70321</v>
      </c>
      <c r="AI107" s="541">
        <v>0</v>
      </c>
      <c r="AJ107" s="541">
        <v>0</v>
      </c>
      <c r="AK107" s="541">
        <v>0</v>
      </c>
      <c r="AL107" s="541">
        <v>0</v>
      </c>
      <c r="AM107" s="541">
        <v>0</v>
      </c>
      <c r="AN107" s="541">
        <v>0</v>
      </c>
      <c r="AO107" s="541">
        <v>0</v>
      </c>
      <c r="AP107" s="541">
        <v>0</v>
      </c>
      <c r="AQ107" s="541">
        <v>0</v>
      </c>
      <c r="AR107" s="541">
        <v>0</v>
      </c>
      <c r="AS107" s="541">
        <v>0</v>
      </c>
      <c r="AT107" s="543">
        <v>13000</v>
      </c>
      <c r="AU107" s="541">
        <v>0</v>
      </c>
      <c r="AV107" s="541">
        <v>708.75</v>
      </c>
      <c r="AW107" s="541">
        <v>0</v>
      </c>
      <c r="AX107" s="541">
        <v>1450</v>
      </c>
      <c r="AY107" s="541">
        <v>708.75</v>
      </c>
      <c r="AZ107" s="541">
        <v>0</v>
      </c>
      <c r="BA107" s="541">
        <v>0</v>
      </c>
      <c r="BB107" s="541">
        <v>0</v>
      </c>
      <c r="BC107" s="544">
        <v>181891.60016666667</v>
      </c>
      <c r="BD107" s="544">
        <v>181891.60016666667</v>
      </c>
      <c r="BE107" s="511"/>
      <c r="BF107" s="565">
        <v>136889.5</v>
      </c>
      <c r="BG107" s="565">
        <v>45002.100166666663</v>
      </c>
      <c r="BH107" s="565">
        <v>0</v>
      </c>
      <c r="BI107" s="565">
        <v>0</v>
      </c>
      <c r="BJ107" s="565">
        <v>181891.60016666667</v>
      </c>
      <c r="BK107" s="565">
        <v>0</v>
      </c>
      <c r="BL107" s="511"/>
      <c r="BM107" s="565">
        <v>31520</v>
      </c>
      <c r="BN107" s="565">
        <v>0</v>
      </c>
    </row>
    <row r="108" spans="1:66" ht="13.2" x14ac:dyDescent="0.25">
      <c r="A108" s="515" t="s">
        <v>618</v>
      </c>
      <c r="B108" s="517">
        <v>2004</v>
      </c>
      <c r="C108" s="517" t="s">
        <v>311</v>
      </c>
      <c r="D108" s="517" t="s">
        <v>36</v>
      </c>
      <c r="E108" s="518" t="s">
        <v>720</v>
      </c>
      <c r="F108" s="540"/>
      <c r="G108" s="540"/>
      <c r="H108" s="540"/>
      <c r="I108" s="540">
        <v>3161.6129166666669</v>
      </c>
      <c r="J108" s="540">
        <v>214.33333333333334</v>
      </c>
      <c r="K108" s="540">
        <v>0</v>
      </c>
      <c r="L108" s="541">
        <v>0</v>
      </c>
      <c r="M108" s="541" t="s">
        <v>1476</v>
      </c>
      <c r="N108" s="541">
        <v>0</v>
      </c>
      <c r="O108" s="541">
        <v>0</v>
      </c>
      <c r="P108" s="541">
        <v>0</v>
      </c>
      <c r="Q108" s="541">
        <v>0</v>
      </c>
      <c r="R108" s="541">
        <v>0</v>
      </c>
      <c r="S108" s="542" t="s">
        <v>1476</v>
      </c>
      <c r="T108" s="541">
        <v>40013.75</v>
      </c>
      <c r="U108" s="541">
        <v>40013.75</v>
      </c>
      <c r="V108" s="541">
        <v>40013.75</v>
      </c>
      <c r="W108" s="541">
        <v>40013.75</v>
      </c>
      <c r="X108" s="543" t="s">
        <v>1476</v>
      </c>
      <c r="Y108" s="541">
        <v>0</v>
      </c>
      <c r="Z108" s="541">
        <v>18803</v>
      </c>
      <c r="AA108" s="541">
        <v>0</v>
      </c>
      <c r="AB108" s="541">
        <v>0</v>
      </c>
      <c r="AC108" s="541">
        <v>0</v>
      </c>
      <c r="AD108" s="541">
        <v>0</v>
      </c>
      <c r="AE108" s="541">
        <v>0</v>
      </c>
      <c r="AF108" s="541">
        <v>0</v>
      </c>
      <c r="AG108" s="541">
        <v>0</v>
      </c>
      <c r="AH108" s="541">
        <v>27288</v>
      </c>
      <c r="AI108" s="541">
        <v>2259</v>
      </c>
      <c r="AJ108" s="541">
        <v>799</v>
      </c>
      <c r="AK108" s="541">
        <v>0</v>
      </c>
      <c r="AL108" s="541">
        <v>0</v>
      </c>
      <c r="AM108" s="541">
        <v>0</v>
      </c>
      <c r="AN108" s="541">
        <v>0</v>
      </c>
      <c r="AO108" s="541">
        <v>0</v>
      </c>
      <c r="AP108" s="541">
        <v>0</v>
      </c>
      <c r="AQ108" s="541">
        <v>0</v>
      </c>
      <c r="AR108" s="541">
        <v>1200</v>
      </c>
      <c r="AS108" s="541">
        <v>0</v>
      </c>
      <c r="AT108" s="543">
        <v>10700</v>
      </c>
      <c r="AU108" s="541">
        <v>0</v>
      </c>
      <c r="AV108" s="541">
        <v>3780.0000000000005</v>
      </c>
      <c r="AW108" s="541">
        <v>0</v>
      </c>
      <c r="AX108" s="541">
        <v>8627.5</v>
      </c>
      <c r="AY108" s="541">
        <v>3780.0000000000005</v>
      </c>
      <c r="AZ108" s="541">
        <v>0</v>
      </c>
      <c r="BA108" s="541">
        <v>0</v>
      </c>
      <c r="BB108" s="541">
        <v>0</v>
      </c>
      <c r="BC108" s="544">
        <v>240667.44625000001</v>
      </c>
      <c r="BD108" s="544">
        <v>240667.44625000001</v>
      </c>
      <c r="BE108" s="511"/>
      <c r="BF108" s="565">
        <v>237291.5</v>
      </c>
      <c r="BG108" s="565">
        <v>3375.9462500000004</v>
      </c>
      <c r="BH108" s="565">
        <v>0</v>
      </c>
      <c r="BI108" s="565">
        <v>0</v>
      </c>
      <c r="BJ108" s="565">
        <v>240667.44625000001</v>
      </c>
      <c r="BK108" s="565">
        <v>0</v>
      </c>
      <c r="BL108" s="511"/>
      <c r="BM108" s="565">
        <v>160055</v>
      </c>
      <c r="BN108" s="565">
        <v>0</v>
      </c>
    </row>
    <row r="109" spans="1:66" ht="13.2" x14ac:dyDescent="0.25">
      <c r="A109" s="515" t="s">
        <v>616</v>
      </c>
      <c r="B109" s="517">
        <v>2133</v>
      </c>
      <c r="C109" s="517" t="s">
        <v>313</v>
      </c>
      <c r="D109" s="517" t="s">
        <v>107</v>
      </c>
      <c r="E109" s="518" t="s">
        <v>721</v>
      </c>
      <c r="F109" s="540"/>
      <c r="G109" s="540"/>
      <c r="H109" s="540"/>
      <c r="I109" s="540">
        <v>0</v>
      </c>
      <c r="J109" s="540">
        <v>3944.6666666666665</v>
      </c>
      <c r="K109" s="540">
        <v>8158.5024999999996</v>
      </c>
      <c r="L109" s="541">
        <v>28877.333333333336</v>
      </c>
      <c r="M109" s="541" t="s">
        <v>1476</v>
      </c>
      <c r="N109" s="541">
        <v>0</v>
      </c>
      <c r="O109" s="541">
        <v>0</v>
      </c>
      <c r="P109" s="541">
        <v>0</v>
      </c>
      <c r="Q109" s="541">
        <v>0</v>
      </c>
      <c r="R109" s="541">
        <v>0</v>
      </c>
      <c r="S109" s="542" t="s">
        <v>1476</v>
      </c>
      <c r="T109" s="541">
        <v>63128.75</v>
      </c>
      <c r="U109" s="541">
        <v>63128.75</v>
      </c>
      <c r="V109" s="541">
        <v>63128.75</v>
      </c>
      <c r="W109" s="541">
        <v>63128.75</v>
      </c>
      <c r="X109" s="543" t="s">
        <v>1476</v>
      </c>
      <c r="Y109" s="541">
        <v>0</v>
      </c>
      <c r="Z109" s="541">
        <v>19509</v>
      </c>
      <c r="AA109" s="541">
        <v>0</v>
      </c>
      <c r="AB109" s="541">
        <v>0</v>
      </c>
      <c r="AC109" s="541">
        <v>0</v>
      </c>
      <c r="AD109" s="541">
        <v>0</v>
      </c>
      <c r="AE109" s="541">
        <v>0</v>
      </c>
      <c r="AF109" s="541">
        <v>0</v>
      </c>
      <c r="AG109" s="541">
        <v>0</v>
      </c>
      <c r="AH109" s="541">
        <v>40255</v>
      </c>
      <c r="AI109" s="541">
        <v>0</v>
      </c>
      <c r="AJ109" s="541">
        <v>0</v>
      </c>
      <c r="AK109" s="541">
        <v>0</v>
      </c>
      <c r="AL109" s="541">
        <v>0</v>
      </c>
      <c r="AM109" s="541">
        <v>0</v>
      </c>
      <c r="AN109" s="541">
        <v>0</v>
      </c>
      <c r="AO109" s="541">
        <v>0</v>
      </c>
      <c r="AP109" s="541">
        <v>0</v>
      </c>
      <c r="AQ109" s="541">
        <v>0</v>
      </c>
      <c r="AR109" s="541">
        <v>0</v>
      </c>
      <c r="AS109" s="541">
        <v>0</v>
      </c>
      <c r="AT109" s="543">
        <v>13700</v>
      </c>
      <c r="AU109" s="541">
        <v>0</v>
      </c>
      <c r="AV109" s="541">
        <v>5729.0625</v>
      </c>
      <c r="AW109" s="541">
        <v>0</v>
      </c>
      <c r="AX109" s="541">
        <v>13557.5</v>
      </c>
      <c r="AY109" s="541">
        <v>5729.0625</v>
      </c>
      <c r="AZ109" s="541">
        <v>0</v>
      </c>
      <c r="BA109" s="541">
        <v>0</v>
      </c>
      <c r="BB109" s="541">
        <v>0</v>
      </c>
      <c r="BC109" s="544">
        <v>391975.1275</v>
      </c>
      <c r="BD109" s="544">
        <v>391975.1275</v>
      </c>
      <c r="BE109" s="511"/>
      <c r="BF109" s="565">
        <v>350994.625</v>
      </c>
      <c r="BG109" s="565">
        <v>40980.502500000002</v>
      </c>
      <c r="BH109" s="565">
        <v>0</v>
      </c>
      <c r="BI109" s="565">
        <v>0</v>
      </c>
      <c r="BJ109" s="565">
        <v>391975.1275</v>
      </c>
      <c r="BK109" s="565">
        <v>0</v>
      </c>
      <c r="BL109" s="511"/>
      <c r="BM109" s="565">
        <v>252515</v>
      </c>
      <c r="BN109" s="565">
        <v>0</v>
      </c>
    </row>
    <row r="110" spans="1:66" ht="13.2" x14ac:dyDescent="0.25">
      <c r="A110" s="515" t="s">
        <v>616</v>
      </c>
      <c r="B110" s="517">
        <v>3322</v>
      </c>
      <c r="C110" s="517" t="s">
        <v>315</v>
      </c>
      <c r="D110" s="517" t="s">
        <v>107</v>
      </c>
      <c r="E110" s="518" t="s">
        <v>722</v>
      </c>
      <c r="F110" s="540"/>
      <c r="G110" s="540"/>
      <c r="H110" s="540"/>
      <c r="I110" s="540">
        <v>1873.3333333333335</v>
      </c>
      <c r="J110" s="540">
        <v>1498.6666666666667</v>
      </c>
      <c r="K110" s="540">
        <v>5924.0025000000005</v>
      </c>
      <c r="L110" s="541">
        <v>6165</v>
      </c>
      <c r="M110" s="541" t="s">
        <v>1476</v>
      </c>
      <c r="N110" s="541">
        <v>0</v>
      </c>
      <c r="O110" s="541">
        <v>0</v>
      </c>
      <c r="P110" s="541">
        <v>0</v>
      </c>
      <c r="Q110" s="541">
        <v>0</v>
      </c>
      <c r="R110" s="541">
        <v>0</v>
      </c>
      <c r="S110" s="542" t="s">
        <v>1476</v>
      </c>
      <c r="T110" s="541">
        <v>20416.25</v>
      </c>
      <c r="U110" s="541">
        <v>20416.25</v>
      </c>
      <c r="V110" s="541">
        <v>20416.25</v>
      </c>
      <c r="W110" s="541">
        <v>20416.25</v>
      </c>
      <c r="X110" s="543" t="s">
        <v>1476</v>
      </c>
      <c r="Y110" s="541">
        <v>0</v>
      </c>
      <c r="Z110" s="541">
        <v>17711</v>
      </c>
      <c r="AA110" s="541">
        <v>0</v>
      </c>
      <c r="AB110" s="541">
        <v>0</v>
      </c>
      <c r="AC110" s="541">
        <v>0</v>
      </c>
      <c r="AD110" s="541">
        <v>0</v>
      </c>
      <c r="AE110" s="541">
        <v>0</v>
      </c>
      <c r="AF110" s="541">
        <v>0</v>
      </c>
      <c r="AG110" s="541">
        <v>0</v>
      </c>
      <c r="AH110" s="541">
        <v>26825</v>
      </c>
      <c r="AI110" s="541">
        <v>2259</v>
      </c>
      <c r="AJ110" s="541">
        <v>799</v>
      </c>
      <c r="AK110" s="541">
        <v>0</v>
      </c>
      <c r="AL110" s="541">
        <v>0</v>
      </c>
      <c r="AM110" s="541">
        <v>0</v>
      </c>
      <c r="AN110" s="541">
        <v>0</v>
      </c>
      <c r="AO110" s="541">
        <v>0</v>
      </c>
      <c r="AP110" s="541">
        <v>0</v>
      </c>
      <c r="AQ110" s="541">
        <v>0</v>
      </c>
      <c r="AR110" s="541">
        <v>0</v>
      </c>
      <c r="AS110" s="541">
        <v>0</v>
      </c>
      <c r="AT110" s="543">
        <v>6660</v>
      </c>
      <c r="AU110" s="541">
        <v>0</v>
      </c>
      <c r="AV110" s="541">
        <v>1949.0625000000002</v>
      </c>
      <c r="AW110" s="541">
        <v>0</v>
      </c>
      <c r="AX110" s="541">
        <v>4277.5</v>
      </c>
      <c r="AY110" s="541">
        <v>1949.0625000000002</v>
      </c>
      <c r="AZ110" s="541">
        <v>0</v>
      </c>
      <c r="BA110" s="541">
        <v>0</v>
      </c>
      <c r="BB110" s="541">
        <v>0</v>
      </c>
      <c r="BC110" s="544">
        <v>159555.6275</v>
      </c>
      <c r="BD110" s="544">
        <v>159555.6275</v>
      </c>
      <c r="BE110" s="511"/>
      <c r="BF110" s="565">
        <v>144094.625</v>
      </c>
      <c r="BG110" s="565">
        <v>15461.002500000001</v>
      </c>
      <c r="BH110" s="565">
        <v>0</v>
      </c>
      <c r="BI110" s="565">
        <v>0</v>
      </c>
      <c r="BJ110" s="565">
        <v>159555.6275</v>
      </c>
      <c r="BK110" s="565">
        <v>0</v>
      </c>
      <c r="BL110" s="511"/>
      <c r="BM110" s="565">
        <v>81665</v>
      </c>
      <c r="BN110" s="565">
        <v>0</v>
      </c>
    </row>
    <row r="111" spans="1:66" ht="13.2" x14ac:dyDescent="0.25">
      <c r="A111" s="515" t="s">
        <v>618</v>
      </c>
      <c r="B111" s="517">
        <v>2246</v>
      </c>
      <c r="C111" s="517" t="s">
        <v>317</v>
      </c>
      <c r="D111" s="517" t="s">
        <v>36</v>
      </c>
      <c r="E111" s="518" t="s">
        <v>723</v>
      </c>
      <c r="F111" s="540"/>
      <c r="G111" s="540"/>
      <c r="H111" s="540"/>
      <c r="I111" s="540">
        <v>5687.083333333333</v>
      </c>
      <c r="J111" s="540">
        <v>10039.687333333333</v>
      </c>
      <c r="K111" s="540">
        <v>12159.705166666661</v>
      </c>
      <c r="L111" s="541">
        <v>19230.666666666668</v>
      </c>
      <c r="M111" s="541" t="s">
        <v>1476</v>
      </c>
      <c r="N111" s="541">
        <v>0</v>
      </c>
      <c r="O111" s="541">
        <v>0</v>
      </c>
      <c r="P111" s="541">
        <v>0</v>
      </c>
      <c r="Q111" s="541">
        <v>38948.756664972796</v>
      </c>
      <c r="R111" s="541">
        <v>31159.005331978235</v>
      </c>
      <c r="S111" s="542">
        <v>76134.58</v>
      </c>
      <c r="T111" s="541">
        <v>99408.75</v>
      </c>
      <c r="U111" s="541">
        <v>99408.75</v>
      </c>
      <c r="V111" s="541">
        <v>100081.25</v>
      </c>
      <c r="W111" s="541">
        <v>101426.25</v>
      </c>
      <c r="X111" s="543" t="s">
        <v>1476</v>
      </c>
      <c r="Y111" s="541">
        <v>0</v>
      </c>
      <c r="Z111" s="541">
        <v>21442</v>
      </c>
      <c r="AA111" s="541">
        <v>0</v>
      </c>
      <c r="AB111" s="541">
        <v>0</v>
      </c>
      <c r="AC111" s="541">
        <v>0</v>
      </c>
      <c r="AD111" s="541">
        <v>0</v>
      </c>
      <c r="AE111" s="541">
        <v>0</v>
      </c>
      <c r="AF111" s="541">
        <v>0</v>
      </c>
      <c r="AG111" s="541">
        <v>0</v>
      </c>
      <c r="AH111" s="541">
        <v>71785</v>
      </c>
      <c r="AI111" s="541">
        <v>0</v>
      </c>
      <c r="AJ111" s="541">
        <v>0</v>
      </c>
      <c r="AK111" s="541">
        <v>0</v>
      </c>
      <c r="AL111" s="541">
        <v>0</v>
      </c>
      <c r="AM111" s="541">
        <v>0</v>
      </c>
      <c r="AN111" s="541">
        <v>0</v>
      </c>
      <c r="AO111" s="541">
        <v>0</v>
      </c>
      <c r="AP111" s="541">
        <v>0</v>
      </c>
      <c r="AQ111" s="541">
        <v>0</v>
      </c>
      <c r="AR111" s="541">
        <v>1200</v>
      </c>
      <c r="AS111" s="541">
        <v>0</v>
      </c>
      <c r="AT111" s="543">
        <v>22900</v>
      </c>
      <c r="AU111" s="541">
        <v>0</v>
      </c>
      <c r="AV111" s="541">
        <v>9997.96875</v>
      </c>
      <c r="AW111" s="541">
        <v>0</v>
      </c>
      <c r="AX111" s="541">
        <v>21821.5</v>
      </c>
      <c r="AY111" s="541">
        <v>10116.09375</v>
      </c>
      <c r="AZ111" s="541">
        <v>0</v>
      </c>
      <c r="BA111" s="541">
        <v>0</v>
      </c>
      <c r="BB111" s="541">
        <v>0</v>
      </c>
      <c r="BC111" s="544">
        <v>752947.0469969511</v>
      </c>
      <c r="BD111" s="544">
        <v>752947.0469969511</v>
      </c>
      <c r="BE111" s="511"/>
      <c r="BF111" s="565">
        <v>559587.5625</v>
      </c>
      <c r="BG111" s="565">
        <v>193359.48449695105</v>
      </c>
      <c r="BH111" s="565">
        <v>0</v>
      </c>
      <c r="BI111" s="565">
        <v>0</v>
      </c>
      <c r="BJ111" s="565">
        <v>752947.0469969511</v>
      </c>
      <c r="BK111" s="565">
        <v>0</v>
      </c>
      <c r="BL111" s="511"/>
      <c r="BM111" s="565">
        <v>400325</v>
      </c>
      <c r="BN111" s="565">
        <v>146242.34199695103</v>
      </c>
    </row>
    <row r="112" spans="1:66" ht="13.2" x14ac:dyDescent="0.25">
      <c r="A112" s="515" t="s">
        <v>618</v>
      </c>
      <c r="B112" s="517">
        <v>2406</v>
      </c>
      <c r="C112" s="517" t="s">
        <v>319</v>
      </c>
      <c r="D112" s="517" t="s">
        <v>36</v>
      </c>
      <c r="E112" s="518" t="s">
        <v>724</v>
      </c>
      <c r="F112" s="540"/>
      <c r="G112" s="540"/>
      <c r="H112" s="540"/>
      <c r="I112" s="540">
        <v>14700</v>
      </c>
      <c r="J112" s="540">
        <v>11760</v>
      </c>
      <c r="K112" s="540">
        <v>4908.9974999999995</v>
      </c>
      <c r="L112" s="541">
        <v>0</v>
      </c>
      <c r="M112" s="541" t="s">
        <v>1476</v>
      </c>
      <c r="N112" s="541">
        <v>0</v>
      </c>
      <c r="O112" s="541">
        <v>0</v>
      </c>
      <c r="P112" s="541">
        <v>0</v>
      </c>
      <c r="Q112" s="541">
        <v>0</v>
      </c>
      <c r="R112" s="541">
        <v>0</v>
      </c>
      <c r="S112" s="542" t="s">
        <v>1476</v>
      </c>
      <c r="T112" s="541">
        <v>36556.25</v>
      </c>
      <c r="U112" s="541">
        <v>36556.25</v>
      </c>
      <c r="V112" s="541">
        <v>36556.25</v>
      </c>
      <c r="W112" s="541">
        <v>36556.25</v>
      </c>
      <c r="X112" s="543" t="s">
        <v>1476</v>
      </c>
      <c r="Y112" s="541">
        <v>0</v>
      </c>
      <c r="Z112" s="541">
        <v>17727</v>
      </c>
      <c r="AA112" s="541">
        <v>0</v>
      </c>
      <c r="AB112" s="541">
        <v>0</v>
      </c>
      <c r="AC112" s="541">
        <v>0</v>
      </c>
      <c r="AD112" s="541">
        <v>0</v>
      </c>
      <c r="AE112" s="541">
        <v>0</v>
      </c>
      <c r="AF112" s="541">
        <v>0</v>
      </c>
      <c r="AG112" s="541">
        <v>0</v>
      </c>
      <c r="AH112" s="541">
        <v>23231</v>
      </c>
      <c r="AI112" s="541">
        <v>0</v>
      </c>
      <c r="AJ112" s="541">
        <v>0</v>
      </c>
      <c r="AK112" s="541">
        <v>0</v>
      </c>
      <c r="AL112" s="541">
        <v>0</v>
      </c>
      <c r="AM112" s="541">
        <v>0</v>
      </c>
      <c r="AN112" s="541">
        <v>0</v>
      </c>
      <c r="AO112" s="541">
        <v>0</v>
      </c>
      <c r="AP112" s="541">
        <v>0</v>
      </c>
      <c r="AQ112" s="541">
        <v>0</v>
      </c>
      <c r="AR112" s="541">
        <v>1200</v>
      </c>
      <c r="AS112" s="541">
        <v>0</v>
      </c>
      <c r="AT112" s="543">
        <v>6860</v>
      </c>
      <c r="AU112" s="541">
        <v>0</v>
      </c>
      <c r="AV112" s="541">
        <v>3189.375</v>
      </c>
      <c r="AW112" s="541">
        <v>0</v>
      </c>
      <c r="AX112" s="541">
        <v>7612.5</v>
      </c>
      <c r="AY112" s="541">
        <v>3189.375</v>
      </c>
      <c r="AZ112" s="541">
        <v>0</v>
      </c>
      <c r="BA112" s="541">
        <v>0</v>
      </c>
      <c r="BB112" s="541">
        <v>0</v>
      </c>
      <c r="BC112" s="544">
        <v>240603.2475</v>
      </c>
      <c r="BD112" s="544">
        <v>240603.2475</v>
      </c>
      <c r="BE112" s="511"/>
      <c r="BF112" s="565">
        <v>209234.25</v>
      </c>
      <c r="BG112" s="565">
        <v>31368.997499999998</v>
      </c>
      <c r="BH112" s="565">
        <v>0</v>
      </c>
      <c r="BI112" s="565">
        <v>0</v>
      </c>
      <c r="BJ112" s="565">
        <v>240603.2475</v>
      </c>
      <c r="BK112" s="565">
        <v>0</v>
      </c>
      <c r="BL112" s="511"/>
      <c r="BM112" s="565">
        <v>146225</v>
      </c>
      <c r="BN112" s="565">
        <v>0</v>
      </c>
    </row>
    <row r="113" spans="1:66" ht="13.2" x14ac:dyDescent="0.25">
      <c r="A113" s="515" t="s">
        <v>618</v>
      </c>
      <c r="B113" s="517">
        <v>2416</v>
      </c>
      <c r="C113" s="517" t="s">
        <v>321</v>
      </c>
      <c r="D113" s="517" t="s">
        <v>36</v>
      </c>
      <c r="E113" s="518" t="s">
        <v>725</v>
      </c>
      <c r="F113" s="540"/>
      <c r="G113" s="540"/>
      <c r="H113" s="540"/>
      <c r="I113" s="540">
        <v>16445.41375</v>
      </c>
      <c r="J113" s="540">
        <v>6462.1310000000003</v>
      </c>
      <c r="K113" s="540">
        <v>15226.348249999999</v>
      </c>
      <c r="L113" s="541">
        <v>0</v>
      </c>
      <c r="M113" s="541" t="s">
        <v>1476</v>
      </c>
      <c r="N113" s="541">
        <v>0</v>
      </c>
      <c r="O113" s="541">
        <v>0</v>
      </c>
      <c r="P113" s="541">
        <v>0</v>
      </c>
      <c r="Q113" s="541">
        <v>0</v>
      </c>
      <c r="R113" s="541">
        <v>0</v>
      </c>
      <c r="S113" s="542" t="s">
        <v>1476</v>
      </c>
      <c r="T113" s="541">
        <v>7052.5</v>
      </c>
      <c r="U113" s="541">
        <v>7052.5</v>
      </c>
      <c r="V113" s="541">
        <v>7052.5</v>
      </c>
      <c r="W113" s="541">
        <v>7052.5</v>
      </c>
      <c r="X113" s="543" t="s">
        <v>1476</v>
      </c>
      <c r="Y113" s="541">
        <v>0</v>
      </c>
      <c r="Z113" s="541">
        <v>18457</v>
      </c>
      <c r="AA113" s="541">
        <v>0</v>
      </c>
      <c r="AB113" s="541">
        <v>0</v>
      </c>
      <c r="AC113" s="541">
        <v>0</v>
      </c>
      <c r="AD113" s="541">
        <v>0</v>
      </c>
      <c r="AE113" s="541">
        <v>0</v>
      </c>
      <c r="AF113" s="541">
        <v>0</v>
      </c>
      <c r="AG113" s="541">
        <v>0</v>
      </c>
      <c r="AH113" s="541">
        <v>78805</v>
      </c>
      <c r="AI113" s="541">
        <v>0</v>
      </c>
      <c r="AJ113" s="541">
        <v>0</v>
      </c>
      <c r="AK113" s="541">
        <v>0</v>
      </c>
      <c r="AL113" s="541">
        <v>0</v>
      </c>
      <c r="AM113" s="541">
        <v>0</v>
      </c>
      <c r="AN113" s="541">
        <v>0</v>
      </c>
      <c r="AO113" s="541">
        <v>0</v>
      </c>
      <c r="AP113" s="541">
        <v>0</v>
      </c>
      <c r="AQ113" s="541">
        <v>0</v>
      </c>
      <c r="AR113" s="541">
        <v>0</v>
      </c>
      <c r="AS113" s="541">
        <v>0</v>
      </c>
      <c r="AT113" s="543">
        <v>10130</v>
      </c>
      <c r="AU113" s="541">
        <v>0</v>
      </c>
      <c r="AV113" s="541">
        <v>649.6875</v>
      </c>
      <c r="AW113" s="541">
        <v>0</v>
      </c>
      <c r="AX113" s="541">
        <v>1450</v>
      </c>
      <c r="AY113" s="541">
        <v>649.6875</v>
      </c>
      <c r="AZ113" s="541">
        <v>0</v>
      </c>
      <c r="BA113" s="541">
        <v>0</v>
      </c>
      <c r="BB113" s="541">
        <v>0</v>
      </c>
      <c r="BC113" s="544">
        <v>176485.26799999998</v>
      </c>
      <c r="BD113" s="544">
        <v>176485.26799999998</v>
      </c>
      <c r="BE113" s="511"/>
      <c r="BF113" s="565">
        <v>138351.375</v>
      </c>
      <c r="BG113" s="565">
        <v>38133.892999999996</v>
      </c>
      <c r="BH113" s="565">
        <v>0</v>
      </c>
      <c r="BI113" s="565">
        <v>0</v>
      </c>
      <c r="BJ113" s="565">
        <v>176485.26799999998</v>
      </c>
      <c r="BK113" s="565">
        <v>0</v>
      </c>
      <c r="BL113" s="511"/>
      <c r="BM113" s="565">
        <v>28210</v>
      </c>
      <c r="BN113" s="565">
        <v>0</v>
      </c>
    </row>
    <row r="114" spans="1:66" ht="13.2" x14ac:dyDescent="0.25">
      <c r="A114" s="515" t="s">
        <v>618</v>
      </c>
      <c r="B114" s="517">
        <v>3003</v>
      </c>
      <c r="C114" s="517" t="s">
        <v>323</v>
      </c>
      <c r="D114" s="517" t="s">
        <v>36</v>
      </c>
      <c r="E114" s="518" t="s">
        <v>726</v>
      </c>
      <c r="F114" s="540"/>
      <c r="G114" s="540"/>
      <c r="H114" s="540"/>
      <c r="I114" s="540">
        <v>3553.4676782789534</v>
      </c>
      <c r="J114" s="540">
        <v>2842.7741426231628</v>
      </c>
      <c r="K114" s="540">
        <v>1010.9735000000001</v>
      </c>
      <c r="L114" s="541">
        <v>0</v>
      </c>
      <c r="M114" s="541" t="s">
        <v>1476</v>
      </c>
      <c r="N114" s="541">
        <v>0</v>
      </c>
      <c r="O114" s="541">
        <v>0</v>
      </c>
      <c r="P114" s="541">
        <v>0</v>
      </c>
      <c r="Q114" s="541">
        <v>0</v>
      </c>
      <c r="R114" s="541">
        <v>0</v>
      </c>
      <c r="S114" s="542" t="s">
        <v>1476</v>
      </c>
      <c r="T114" s="541">
        <v>8535</v>
      </c>
      <c r="U114" s="541">
        <v>8535</v>
      </c>
      <c r="V114" s="541">
        <v>8535</v>
      </c>
      <c r="W114" s="541">
        <v>8535</v>
      </c>
      <c r="X114" s="543" t="s">
        <v>1476</v>
      </c>
      <c r="Y114" s="541">
        <v>0</v>
      </c>
      <c r="Z114" s="541">
        <v>17855</v>
      </c>
      <c r="AA114" s="541">
        <v>0</v>
      </c>
      <c r="AB114" s="541">
        <v>0</v>
      </c>
      <c r="AC114" s="541">
        <v>0</v>
      </c>
      <c r="AD114" s="541">
        <v>0</v>
      </c>
      <c r="AE114" s="541">
        <v>0</v>
      </c>
      <c r="AF114" s="541">
        <v>0</v>
      </c>
      <c r="AG114" s="541">
        <v>0</v>
      </c>
      <c r="AH114" s="541">
        <v>34309</v>
      </c>
      <c r="AI114" s="541">
        <v>0</v>
      </c>
      <c r="AJ114" s="541">
        <v>0</v>
      </c>
      <c r="AK114" s="541">
        <v>0</v>
      </c>
      <c r="AL114" s="541">
        <v>0</v>
      </c>
      <c r="AM114" s="541">
        <v>0</v>
      </c>
      <c r="AN114" s="541">
        <v>0</v>
      </c>
      <c r="AO114" s="541">
        <v>0</v>
      </c>
      <c r="AP114" s="541">
        <v>0</v>
      </c>
      <c r="AQ114" s="541">
        <v>0</v>
      </c>
      <c r="AR114" s="541">
        <v>1200</v>
      </c>
      <c r="AS114" s="541">
        <v>0</v>
      </c>
      <c r="AT114" s="543">
        <v>7130</v>
      </c>
      <c r="AU114" s="541">
        <v>0</v>
      </c>
      <c r="AV114" s="541">
        <v>472.50000000000006</v>
      </c>
      <c r="AW114" s="541">
        <v>0</v>
      </c>
      <c r="AX114" s="541">
        <v>1450</v>
      </c>
      <c r="AY114" s="541">
        <v>472.50000000000006</v>
      </c>
      <c r="AZ114" s="541">
        <v>0</v>
      </c>
      <c r="BA114" s="541">
        <v>0</v>
      </c>
      <c r="BB114" s="541">
        <v>0</v>
      </c>
      <c r="BC114" s="544">
        <v>104436.21532090212</v>
      </c>
      <c r="BD114" s="544">
        <v>104436.21532090212</v>
      </c>
      <c r="BE114" s="511"/>
      <c r="BF114" s="565">
        <v>97029</v>
      </c>
      <c r="BG114" s="565">
        <v>7407.2153209021162</v>
      </c>
      <c r="BH114" s="565">
        <v>0</v>
      </c>
      <c r="BI114" s="565">
        <v>0</v>
      </c>
      <c r="BJ114" s="565">
        <v>104436.21532090212</v>
      </c>
      <c r="BK114" s="565">
        <v>0</v>
      </c>
      <c r="BL114" s="511"/>
      <c r="BM114" s="565">
        <v>34140</v>
      </c>
      <c r="BN114" s="565">
        <v>0</v>
      </c>
    </row>
    <row r="115" spans="1:66" ht="13.2" x14ac:dyDescent="0.25">
      <c r="A115" s="515" t="s">
        <v>618</v>
      </c>
      <c r="B115" s="517">
        <v>2142</v>
      </c>
      <c r="C115" s="517" t="s">
        <v>325</v>
      </c>
      <c r="D115" s="517" t="s">
        <v>36</v>
      </c>
      <c r="E115" s="518" t="s">
        <v>727</v>
      </c>
      <c r="F115" s="540"/>
      <c r="G115" s="540"/>
      <c r="H115" s="540"/>
      <c r="I115" s="540">
        <v>8015.6295833333334</v>
      </c>
      <c r="J115" s="540">
        <v>8218.4133333333339</v>
      </c>
      <c r="K115" s="540">
        <v>28688.81</v>
      </c>
      <c r="L115" s="541">
        <v>0</v>
      </c>
      <c r="M115" s="541" t="s">
        <v>1476</v>
      </c>
      <c r="N115" s="541">
        <v>0</v>
      </c>
      <c r="O115" s="541">
        <v>0</v>
      </c>
      <c r="P115" s="541">
        <v>0</v>
      </c>
      <c r="Q115" s="541">
        <v>0</v>
      </c>
      <c r="R115" s="541">
        <v>0</v>
      </c>
      <c r="S115" s="542" t="s">
        <v>1476</v>
      </c>
      <c r="T115" s="541">
        <v>69267.5</v>
      </c>
      <c r="U115" s="541">
        <v>69267.5</v>
      </c>
      <c r="V115" s="541">
        <v>69267.5</v>
      </c>
      <c r="W115" s="541">
        <v>69267.5</v>
      </c>
      <c r="X115" s="543" t="s">
        <v>1476</v>
      </c>
      <c r="Y115" s="541">
        <v>0</v>
      </c>
      <c r="Z115" s="541">
        <v>19415</v>
      </c>
      <c r="AA115" s="541">
        <v>0</v>
      </c>
      <c r="AB115" s="541">
        <v>0</v>
      </c>
      <c r="AC115" s="541">
        <v>0</v>
      </c>
      <c r="AD115" s="541">
        <v>0</v>
      </c>
      <c r="AE115" s="541">
        <v>0</v>
      </c>
      <c r="AF115" s="541">
        <v>0</v>
      </c>
      <c r="AG115" s="541">
        <v>0</v>
      </c>
      <c r="AH115" s="541">
        <v>40700</v>
      </c>
      <c r="AI115" s="541">
        <v>3322</v>
      </c>
      <c r="AJ115" s="541">
        <v>1176</v>
      </c>
      <c r="AK115" s="541">
        <v>0</v>
      </c>
      <c r="AL115" s="541">
        <v>0</v>
      </c>
      <c r="AM115" s="541">
        <v>0</v>
      </c>
      <c r="AN115" s="541">
        <v>0</v>
      </c>
      <c r="AO115" s="541">
        <v>0</v>
      </c>
      <c r="AP115" s="541">
        <v>0</v>
      </c>
      <c r="AQ115" s="541">
        <v>0</v>
      </c>
      <c r="AR115" s="541">
        <v>1200</v>
      </c>
      <c r="AS115" s="541">
        <v>0</v>
      </c>
      <c r="AT115" s="543">
        <v>13560</v>
      </c>
      <c r="AU115" s="541">
        <v>0</v>
      </c>
      <c r="AV115" s="541">
        <v>6969.375</v>
      </c>
      <c r="AW115" s="541">
        <v>0</v>
      </c>
      <c r="AX115" s="541">
        <v>14935</v>
      </c>
      <c r="AY115" s="541">
        <v>6969.375</v>
      </c>
      <c r="AZ115" s="541">
        <v>0</v>
      </c>
      <c r="BA115" s="541">
        <v>0</v>
      </c>
      <c r="BB115" s="541">
        <v>0</v>
      </c>
      <c r="BC115" s="544">
        <v>430239.60291666666</v>
      </c>
      <c r="BD115" s="544">
        <v>430239.60291666666</v>
      </c>
      <c r="BE115" s="511"/>
      <c r="BF115" s="565">
        <v>385316.75</v>
      </c>
      <c r="BG115" s="565">
        <v>44922.85291666667</v>
      </c>
      <c r="BH115" s="565">
        <v>0</v>
      </c>
      <c r="BI115" s="565">
        <v>0</v>
      </c>
      <c r="BJ115" s="565">
        <v>430239.60291666666</v>
      </c>
      <c r="BK115" s="565">
        <v>0</v>
      </c>
      <c r="BL115" s="511"/>
      <c r="BM115" s="565">
        <v>277070</v>
      </c>
      <c r="BN115" s="565">
        <v>0</v>
      </c>
    </row>
    <row r="116" spans="1:66" ht="13.2" x14ac:dyDescent="0.25">
      <c r="A116" s="515" t="s">
        <v>618</v>
      </c>
      <c r="B116" s="517">
        <v>2457</v>
      </c>
      <c r="C116" s="517" t="s">
        <v>327</v>
      </c>
      <c r="D116" s="517" t="s">
        <v>36</v>
      </c>
      <c r="E116" s="518" t="s">
        <v>728</v>
      </c>
      <c r="F116" s="540"/>
      <c r="G116" s="540"/>
      <c r="H116" s="540"/>
      <c r="I116" s="540">
        <v>8363.685833333333</v>
      </c>
      <c r="J116" s="540">
        <v>12537.928333333333</v>
      </c>
      <c r="K116" s="540">
        <v>29262.865416666664</v>
      </c>
      <c r="L116" s="541">
        <v>4012.6666666666665</v>
      </c>
      <c r="M116" s="541" t="s">
        <v>1476</v>
      </c>
      <c r="N116" s="541">
        <v>0</v>
      </c>
      <c r="O116" s="541">
        <v>0</v>
      </c>
      <c r="P116" s="541">
        <v>0</v>
      </c>
      <c r="Q116" s="541">
        <v>40261.572349760296</v>
      </c>
      <c r="R116" s="541">
        <v>32209.257879808236</v>
      </c>
      <c r="S116" s="542">
        <v>17136.419999999998</v>
      </c>
      <c r="T116" s="541">
        <v>59180</v>
      </c>
      <c r="U116" s="541">
        <v>59180</v>
      </c>
      <c r="V116" s="541">
        <v>59180</v>
      </c>
      <c r="W116" s="541">
        <v>59180</v>
      </c>
      <c r="X116" s="543" t="s">
        <v>1476</v>
      </c>
      <c r="Y116" s="541">
        <v>0</v>
      </c>
      <c r="Z116" s="541">
        <v>19535</v>
      </c>
      <c r="AA116" s="541">
        <v>0</v>
      </c>
      <c r="AB116" s="541">
        <v>0</v>
      </c>
      <c r="AC116" s="541">
        <v>0</v>
      </c>
      <c r="AD116" s="541">
        <v>0</v>
      </c>
      <c r="AE116" s="541">
        <v>0</v>
      </c>
      <c r="AF116" s="541">
        <v>0</v>
      </c>
      <c r="AG116" s="541">
        <v>0</v>
      </c>
      <c r="AH116" s="541">
        <v>43978</v>
      </c>
      <c r="AI116" s="541">
        <v>7440</v>
      </c>
      <c r="AJ116" s="541">
        <v>2633</v>
      </c>
      <c r="AK116" s="541">
        <v>0</v>
      </c>
      <c r="AL116" s="541">
        <v>0</v>
      </c>
      <c r="AM116" s="541">
        <v>0</v>
      </c>
      <c r="AN116" s="541">
        <v>0</v>
      </c>
      <c r="AO116" s="541">
        <v>0</v>
      </c>
      <c r="AP116" s="541">
        <v>0</v>
      </c>
      <c r="AQ116" s="541">
        <v>0</v>
      </c>
      <c r="AR116" s="541">
        <v>1200</v>
      </c>
      <c r="AS116" s="541">
        <v>0</v>
      </c>
      <c r="AT116" s="543">
        <v>14160</v>
      </c>
      <c r="AU116" s="541">
        <v>0</v>
      </c>
      <c r="AV116" s="541">
        <v>5883.28125</v>
      </c>
      <c r="AW116" s="541">
        <v>0</v>
      </c>
      <c r="AX116" s="541">
        <v>12945.5</v>
      </c>
      <c r="AY116" s="541">
        <v>5883.28125</v>
      </c>
      <c r="AZ116" s="541">
        <v>0</v>
      </c>
      <c r="BA116" s="541">
        <v>0</v>
      </c>
      <c r="BB116" s="541">
        <v>0</v>
      </c>
      <c r="BC116" s="544">
        <v>494162.45897956856</v>
      </c>
      <c r="BD116" s="544">
        <v>494162.45897956856</v>
      </c>
      <c r="BE116" s="511"/>
      <c r="BF116" s="565">
        <v>350378.0625</v>
      </c>
      <c r="BG116" s="565">
        <v>143784.39647956853</v>
      </c>
      <c r="BH116" s="565">
        <v>0</v>
      </c>
      <c r="BI116" s="565">
        <v>0</v>
      </c>
      <c r="BJ116" s="565">
        <v>494162.45897956856</v>
      </c>
      <c r="BK116" s="565">
        <v>0</v>
      </c>
      <c r="BL116" s="511"/>
      <c r="BM116" s="565">
        <v>236720</v>
      </c>
      <c r="BN116" s="565">
        <v>89607.250229568526</v>
      </c>
    </row>
    <row r="117" spans="1:66" ht="13.2" x14ac:dyDescent="0.25">
      <c r="A117" s="515" t="s">
        <v>618</v>
      </c>
      <c r="B117" s="517">
        <v>2469</v>
      </c>
      <c r="C117" s="517" t="s">
        <v>329</v>
      </c>
      <c r="D117" s="517" t="s">
        <v>36</v>
      </c>
      <c r="E117" s="518" t="s">
        <v>729</v>
      </c>
      <c r="F117" s="540"/>
      <c r="G117" s="540"/>
      <c r="H117" s="540"/>
      <c r="I117" s="540">
        <v>3515</v>
      </c>
      <c r="J117" s="540">
        <v>0</v>
      </c>
      <c r="K117" s="540">
        <v>5000</v>
      </c>
      <c r="L117" s="541">
        <v>0</v>
      </c>
      <c r="M117" s="541" t="s">
        <v>1476</v>
      </c>
      <c r="N117" s="541">
        <v>0</v>
      </c>
      <c r="O117" s="541">
        <v>0</v>
      </c>
      <c r="P117" s="541">
        <v>0</v>
      </c>
      <c r="Q117" s="541">
        <v>0</v>
      </c>
      <c r="R117" s="541">
        <v>0</v>
      </c>
      <c r="S117" s="542" t="s">
        <v>1476</v>
      </c>
      <c r="T117" s="541">
        <v>54118.75</v>
      </c>
      <c r="U117" s="541">
        <v>54118.75</v>
      </c>
      <c r="V117" s="541">
        <v>54118.75</v>
      </c>
      <c r="W117" s="541">
        <v>54118.75</v>
      </c>
      <c r="X117" s="543" t="s">
        <v>1476</v>
      </c>
      <c r="Y117" s="541">
        <v>0</v>
      </c>
      <c r="Z117" s="541">
        <v>18944</v>
      </c>
      <c r="AA117" s="541">
        <v>0</v>
      </c>
      <c r="AB117" s="541">
        <v>0</v>
      </c>
      <c r="AC117" s="541">
        <v>0</v>
      </c>
      <c r="AD117" s="541">
        <v>0</v>
      </c>
      <c r="AE117" s="541">
        <v>0</v>
      </c>
      <c r="AF117" s="541">
        <v>0</v>
      </c>
      <c r="AG117" s="541">
        <v>0</v>
      </c>
      <c r="AH117" s="541">
        <v>22935</v>
      </c>
      <c r="AI117" s="541">
        <v>0</v>
      </c>
      <c r="AJ117" s="541">
        <v>0</v>
      </c>
      <c r="AK117" s="541">
        <v>0</v>
      </c>
      <c r="AL117" s="541">
        <v>0</v>
      </c>
      <c r="AM117" s="541">
        <v>0</v>
      </c>
      <c r="AN117" s="541">
        <v>0</v>
      </c>
      <c r="AO117" s="541">
        <v>0</v>
      </c>
      <c r="AP117" s="541">
        <v>154</v>
      </c>
      <c r="AQ117" s="541">
        <v>0</v>
      </c>
      <c r="AR117" s="541">
        <v>0</v>
      </c>
      <c r="AS117" s="541">
        <v>0</v>
      </c>
      <c r="AT117" s="543">
        <v>10660</v>
      </c>
      <c r="AU117" s="541">
        <v>0</v>
      </c>
      <c r="AV117" s="541">
        <v>5079.375</v>
      </c>
      <c r="AW117" s="541">
        <v>0</v>
      </c>
      <c r="AX117" s="541">
        <v>11382.5</v>
      </c>
      <c r="AY117" s="541">
        <v>5079.375</v>
      </c>
      <c r="AZ117" s="541">
        <v>0</v>
      </c>
      <c r="BA117" s="541">
        <v>0</v>
      </c>
      <c r="BB117" s="541">
        <v>0</v>
      </c>
      <c r="BC117" s="544">
        <v>299224.25</v>
      </c>
      <c r="BD117" s="544">
        <v>299224.25</v>
      </c>
      <c r="BE117" s="511"/>
      <c r="BF117" s="565">
        <v>290709.25</v>
      </c>
      <c r="BG117" s="565">
        <v>8515</v>
      </c>
      <c r="BH117" s="565">
        <v>0</v>
      </c>
      <c r="BI117" s="565">
        <v>0</v>
      </c>
      <c r="BJ117" s="565">
        <v>299224.25</v>
      </c>
      <c r="BK117" s="565">
        <v>0</v>
      </c>
      <c r="BL117" s="511"/>
      <c r="BM117" s="565">
        <v>216475</v>
      </c>
      <c r="BN117" s="565">
        <v>0</v>
      </c>
    </row>
    <row r="118" spans="1:66" ht="13.2" x14ac:dyDescent="0.25">
      <c r="A118" s="515" t="s">
        <v>618</v>
      </c>
      <c r="B118" s="517">
        <v>3431</v>
      </c>
      <c r="C118" s="517" t="s">
        <v>35</v>
      </c>
      <c r="D118" s="517" t="s">
        <v>36</v>
      </c>
      <c r="E118" s="518" t="s">
        <v>730</v>
      </c>
      <c r="F118" s="540"/>
      <c r="G118" s="540"/>
      <c r="H118" s="540"/>
      <c r="I118" s="540">
        <v>20412.058749999997</v>
      </c>
      <c r="J118" s="540">
        <v>13155.601000000001</v>
      </c>
      <c r="K118" s="540">
        <v>33128.735249999998</v>
      </c>
      <c r="L118" s="541">
        <v>26131.85</v>
      </c>
      <c r="M118" s="541" t="s">
        <v>1476</v>
      </c>
      <c r="N118" s="541">
        <v>0</v>
      </c>
      <c r="O118" s="541">
        <v>0</v>
      </c>
      <c r="P118" s="541">
        <v>0</v>
      </c>
      <c r="Q118" s="541">
        <v>0</v>
      </c>
      <c r="R118" s="541">
        <v>0</v>
      </c>
      <c r="S118" s="542" t="s">
        <v>1476</v>
      </c>
      <c r="T118" s="541">
        <v>36970</v>
      </c>
      <c r="U118" s="541">
        <v>36970</v>
      </c>
      <c r="V118" s="541">
        <v>36297.5</v>
      </c>
      <c r="W118" s="541">
        <v>34952.5</v>
      </c>
      <c r="X118" s="543" t="s">
        <v>1476</v>
      </c>
      <c r="Y118" s="541">
        <v>0</v>
      </c>
      <c r="Z118" s="541">
        <v>21345</v>
      </c>
      <c r="AA118" s="541">
        <v>0</v>
      </c>
      <c r="AB118" s="541">
        <v>0</v>
      </c>
      <c r="AC118" s="541">
        <v>0</v>
      </c>
      <c r="AD118" s="541">
        <v>0</v>
      </c>
      <c r="AE118" s="541">
        <v>0</v>
      </c>
      <c r="AF118" s="541">
        <v>0</v>
      </c>
      <c r="AG118" s="541">
        <v>0</v>
      </c>
      <c r="AH118" s="541">
        <v>100517</v>
      </c>
      <c r="AI118" s="541">
        <v>6377</v>
      </c>
      <c r="AJ118" s="541">
        <v>2257</v>
      </c>
      <c r="AK118" s="541">
        <v>0</v>
      </c>
      <c r="AL118" s="541">
        <v>0</v>
      </c>
      <c r="AM118" s="541">
        <v>0</v>
      </c>
      <c r="AN118" s="541">
        <v>0</v>
      </c>
      <c r="AO118" s="541">
        <v>0</v>
      </c>
      <c r="AP118" s="541">
        <v>0</v>
      </c>
      <c r="AQ118" s="541">
        <v>0</v>
      </c>
      <c r="AR118" s="541">
        <v>0</v>
      </c>
      <c r="AS118" s="541">
        <v>0</v>
      </c>
      <c r="AT118" s="543">
        <v>20900</v>
      </c>
      <c r="AU118" s="541">
        <v>0</v>
      </c>
      <c r="AV118" s="541">
        <v>3484.6875</v>
      </c>
      <c r="AW118" s="541">
        <v>0</v>
      </c>
      <c r="AX118" s="541">
        <v>7395</v>
      </c>
      <c r="AY118" s="541">
        <v>3366.5625</v>
      </c>
      <c r="AZ118" s="541">
        <v>0</v>
      </c>
      <c r="BA118" s="541">
        <v>0</v>
      </c>
      <c r="BB118" s="541">
        <v>0</v>
      </c>
      <c r="BC118" s="544">
        <v>403660.495</v>
      </c>
      <c r="BD118" s="544">
        <v>403660.495</v>
      </c>
      <c r="BE118" s="511"/>
      <c r="BF118" s="565">
        <v>310832.25</v>
      </c>
      <c r="BG118" s="565">
        <v>92828.244999999995</v>
      </c>
      <c r="BH118" s="565">
        <v>0</v>
      </c>
      <c r="BI118" s="565">
        <v>0</v>
      </c>
      <c r="BJ118" s="565">
        <v>403660.495</v>
      </c>
      <c r="BK118" s="565">
        <v>0</v>
      </c>
      <c r="BL118" s="511"/>
      <c r="BM118" s="565">
        <v>145190</v>
      </c>
      <c r="BN118" s="565">
        <v>0</v>
      </c>
    </row>
    <row r="119" spans="1:66" ht="13.2" x14ac:dyDescent="0.25">
      <c r="A119" s="515" t="s">
        <v>618</v>
      </c>
      <c r="B119" s="517">
        <v>2018</v>
      </c>
      <c r="C119" s="517" t="s">
        <v>371</v>
      </c>
      <c r="D119" s="517" t="s">
        <v>36</v>
      </c>
      <c r="E119" s="518" t="s">
        <v>731</v>
      </c>
      <c r="F119" s="540"/>
      <c r="G119" s="540"/>
      <c r="H119" s="540"/>
      <c r="I119" s="540">
        <v>7806.3924999999999</v>
      </c>
      <c r="J119" s="540">
        <v>11855.666666666668</v>
      </c>
      <c r="K119" s="540">
        <v>5700</v>
      </c>
      <c r="L119" s="541">
        <v>17895.666666666668</v>
      </c>
      <c r="M119" s="541" t="s">
        <v>1476</v>
      </c>
      <c r="N119" s="541">
        <v>0</v>
      </c>
      <c r="O119" s="541">
        <v>0</v>
      </c>
      <c r="P119" s="541">
        <v>0</v>
      </c>
      <c r="Q119" s="541">
        <v>0</v>
      </c>
      <c r="R119" s="541">
        <v>0</v>
      </c>
      <c r="S119" s="542" t="s">
        <v>1476</v>
      </c>
      <c r="T119" s="541">
        <v>86321.25</v>
      </c>
      <c r="U119" s="541">
        <v>86321.25</v>
      </c>
      <c r="V119" s="541">
        <v>85985</v>
      </c>
      <c r="W119" s="541">
        <v>85312.5</v>
      </c>
      <c r="X119" s="543" t="s">
        <v>1476</v>
      </c>
      <c r="Y119" s="541">
        <v>0</v>
      </c>
      <c r="Z119" s="541">
        <v>18927</v>
      </c>
      <c r="AA119" s="541">
        <v>0</v>
      </c>
      <c r="AB119" s="541">
        <v>0</v>
      </c>
      <c r="AC119" s="541">
        <v>0</v>
      </c>
      <c r="AD119" s="541">
        <v>0</v>
      </c>
      <c r="AE119" s="541">
        <v>38823.75</v>
      </c>
      <c r="AF119" s="541">
        <v>0</v>
      </c>
      <c r="AG119" s="541">
        <v>0</v>
      </c>
      <c r="AH119" s="541">
        <v>17654</v>
      </c>
      <c r="AI119" s="541">
        <v>7574</v>
      </c>
      <c r="AJ119" s="541">
        <v>2681</v>
      </c>
      <c r="AK119" s="541">
        <v>0</v>
      </c>
      <c r="AL119" s="541">
        <v>0</v>
      </c>
      <c r="AM119" s="541">
        <v>0</v>
      </c>
      <c r="AN119" s="541">
        <v>0</v>
      </c>
      <c r="AO119" s="541">
        <v>0</v>
      </c>
      <c r="AP119" s="541">
        <v>0</v>
      </c>
      <c r="AQ119" s="541">
        <v>0</v>
      </c>
      <c r="AR119" s="541">
        <v>1200</v>
      </c>
      <c r="AS119" s="541">
        <v>0</v>
      </c>
      <c r="AT119" s="543">
        <v>10930</v>
      </c>
      <c r="AU119" s="541">
        <v>0</v>
      </c>
      <c r="AV119" s="541">
        <v>7737.1875000000009</v>
      </c>
      <c r="AW119" s="541">
        <v>0</v>
      </c>
      <c r="AX119" s="541">
        <v>18415</v>
      </c>
      <c r="AY119" s="541">
        <v>7737.1875000000009</v>
      </c>
      <c r="AZ119" s="541">
        <v>0</v>
      </c>
      <c r="BA119" s="541">
        <v>0</v>
      </c>
      <c r="BB119" s="541">
        <v>0</v>
      </c>
      <c r="BC119" s="544">
        <v>518876.85083333333</v>
      </c>
      <c r="BD119" s="544">
        <v>518876.85083333333</v>
      </c>
      <c r="BE119" s="511"/>
      <c r="BF119" s="565">
        <v>436795.375</v>
      </c>
      <c r="BG119" s="565">
        <v>43257.72583333333</v>
      </c>
      <c r="BH119" s="565">
        <v>38823.75</v>
      </c>
      <c r="BI119" s="565">
        <v>0</v>
      </c>
      <c r="BJ119" s="565">
        <v>518876.85083333333</v>
      </c>
      <c r="BK119" s="565">
        <v>0</v>
      </c>
      <c r="BL119" s="511"/>
      <c r="BM119" s="565">
        <v>343940</v>
      </c>
      <c r="BN119" s="565">
        <v>0</v>
      </c>
    </row>
    <row r="120" spans="1:66" ht="13.2" x14ac:dyDescent="0.25">
      <c r="A120" s="515" t="s">
        <v>614</v>
      </c>
      <c r="B120" s="517">
        <v>3323</v>
      </c>
      <c r="C120" s="517" t="s">
        <v>331</v>
      </c>
      <c r="D120" s="517" t="s">
        <v>107</v>
      </c>
      <c r="E120" s="518" t="s">
        <v>732</v>
      </c>
      <c r="F120" s="540"/>
      <c r="G120" s="540"/>
      <c r="H120" s="540"/>
      <c r="I120" s="540">
        <v>3744.7704166666667</v>
      </c>
      <c r="J120" s="540">
        <v>5081</v>
      </c>
      <c r="K120" s="540">
        <v>17773.25</v>
      </c>
      <c r="L120" s="541">
        <v>8131.15</v>
      </c>
      <c r="M120" s="541" t="s">
        <v>1476</v>
      </c>
      <c r="N120" s="541">
        <v>0</v>
      </c>
      <c r="O120" s="541">
        <v>0</v>
      </c>
      <c r="P120" s="541">
        <v>0</v>
      </c>
      <c r="Q120" s="541">
        <v>0</v>
      </c>
      <c r="R120" s="541">
        <v>0</v>
      </c>
      <c r="S120" s="542" t="s">
        <v>1476</v>
      </c>
      <c r="T120" s="541">
        <v>34038.75</v>
      </c>
      <c r="U120" s="541">
        <v>34038.75</v>
      </c>
      <c r="V120" s="541">
        <v>34038.75</v>
      </c>
      <c r="W120" s="541">
        <v>34038.75</v>
      </c>
      <c r="X120" s="543" t="s">
        <v>1476</v>
      </c>
      <c r="Y120" s="541">
        <v>0</v>
      </c>
      <c r="Z120" s="541">
        <v>17746</v>
      </c>
      <c r="AA120" s="541">
        <v>0</v>
      </c>
      <c r="AB120" s="541">
        <v>0</v>
      </c>
      <c r="AC120" s="541">
        <v>0</v>
      </c>
      <c r="AD120" s="541">
        <v>0</v>
      </c>
      <c r="AE120" s="541">
        <v>0</v>
      </c>
      <c r="AF120" s="541">
        <v>0</v>
      </c>
      <c r="AG120" s="541">
        <v>0</v>
      </c>
      <c r="AH120" s="541">
        <v>15636</v>
      </c>
      <c r="AI120" s="541">
        <v>2923</v>
      </c>
      <c r="AJ120" s="541">
        <v>1034</v>
      </c>
      <c r="AK120" s="541">
        <v>0</v>
      </c>
      <c r="AL120" s="541">
        <v>0</v>
      </c>
      <c r="AM120" s="541">
        <v>0</v>
      </c>
      <c r="AN120" s="541">
        <v>0</v>
      </c>
      <c r="AO120" s="541">
        <v>0</v>
      </c>
      <c r="AP120" s="541">
        <v>0</v>
      </c>
      <c r="AQ120" s="541">
        <v>0</v>
      </c>
      <c r="AR120" s="541">
        <v>0</v>
      </c>
      <c r="AS120" s="541">
        <v>0</v>
      </c>
      <c r="AT120" s="543">
        <v>6930</v>
      </c>
      <c r="AU120" s="541">
        <v>0</v>
      </c>
      <c r="AV120" s="541">
        <v>3012.1875</v>
      </c>
      <c r="AW120" s="541">
        <v>0</v>
      </c>
      <c r="AX120" s="541">
        <v>7322.5</v>
      </c>
      <c r="AY120" s="541">
        <v>3012.1875</v>
      </c>
      <c r="AZ120" s="541">
        <v>0</v>
      </c>
      <c r="BA120" s="541">
        <v>0</v>
      </c>
      <c r="BB120" s="541">
        <v>0</v>
      </c>
      <c r="BC120" s="544">
        <v>228501.04541666666</v>
      </c>
      <c r="BD120" s="544">
        <v>228501.04541666666</v>
      </c>
      <c r="BE120" s="511"/>
      <c r="BF120" s="565">
        <v>193770.875</v>
      </c>
      <c r="BG120" s="565">
        <v>34730.170416666668</v>
      </c>
      <c r="BH120" s="565">
        <v>0</v>
      </c>
      <c r="BI120" s="565">
        <v>0</v>
      </c>
      <c r="BJ120" s="565">
        <v>228501.04541666666</v>
      </c>
      <c r="BK120" s="565">
        <v>0</v>
      </c>
      <c r="BL120" s="511"/>
      <c r="BM120" s="565">
        <v>136155</v>
      </c>
      <c r="BN120" s="565">
        <v>0</v>
      </c>
    </row>
    <row r="121" spans="1:66" s="403" customFormat="1" ht="13.2" x14ac:dyDescent="0.25">
      <c r="A121" s="547" t="s">
        <v>614</v>
      </c>
      <c r="B121" s="548">
        <v>2436</v>
      </c>
      <c r="C121" s="548" t="s">
        <v>333</v>
      </c>
      <c r="D121" s="548" t="s">
        <v>36</v>
      </c>
      <c r="E121" s="549" t="s">
        <v>733</v>
      </c>
      <c r="F121" s="550"/>
      <c r="G121" s="550"/>
      <c r="H121" s="550"/>
      <c r="I121" s="550">
        <v>0</v>
      </c>
      <c r="J121" s="550">
        <v>0</v>
      </c>
      <c r="K121" s="550">
        <v>0</v>
      </c>
      <c r="L121" s="541">
        <v>0</v>
      </c>
      <c r="M121" s="541" t="s">
        <v>1476</v>
      </c>
      <c r="N121" s="541">
        <v>0</v>
      </c>
      <c r="O121" s="541">
        <v>0</v>
      </c>
      <c r="P121" s="541">
        <v>0</v>
      </c>
      <c r="Q121" s="541">
        <v>0</v>
      </c>
      <c r="R121" s="541">
        <v>0</v>
      </c>
      <c r="S121" s="542" t="s">
        <v>1476</v>
      </c>
      <c r="T121" s="541">
        <v>0</v>
      </c>
      <c r="U121" s="541">
        <v>0</v>
      </c>
      <c r="V121" s="541">
        <v>0</v>
      </c>
      <c r="W121" s="541" t="s">
        <v>1476</v>
      </c>
      <c r="X121" s="543" t="s">
        <v>1476</v>
      </c>
      <c r="Y121" s="541">
        <v>0</v>
      </c>
      <c r="Z121" s="541">
        <v>0</v>
      </c>
      <c r="AA121" s="541">
        <v>0</v>
      </c>
      <c r="AB121" s="541">
        <v>0</v>
      </c>
      <c r="AC121" s="541">
        <v>0</v>
      </c>
      <c r="AD121" s="541">
        <v>0</v>
      </c>
      <c r="AE121" s="541">
        <v>0</v>
      </c>
      <c r="AF121" s="541">
        <v>0</v>
      </c>
      <c r="AG121" s="541">
        <v>0</v>
      </c>
      <c r="AH121" s="541">
        <v>0</v>
      </c>
      <c r="AI121" s="541">
        <v>0</v>
      </c>
      <c r="AJ121" s="541">
        <v>0</v>
      </c>
      <c r="AK121" s="541">
        <v>0</v>
      </c>
      <c r="AL121" s="541">
        <v>0</v>
      </c>
      <c r="AM121" s="541">
        <v>0</v>
      </c>
      <c r="AN121" s="541">
        <v>0</v>
      </c>
      <c r="AO121" s="541">
        <v>0</v>
      </c>
      <c r="AP121" s="541">
        <v>0</v>
      </c>
      <c r="AQ121" s="541">
        <v>0</v>
      </c>
      <c r="AR121" s="541">
        <v>0</v>
      </c>
      <c r="AS121" s="541">
        <v>0</v>
      </c>
      <c r="AT121" s="543">
        <v>0</v>
      </c>
      <c r="AU121" s="541">
        <v>0</v>
      </c>
      <c r="AV121" s="541">
        <v>0</v>
      </c>
      <c r="AW121" s="541">
        <v>0</v>
      </c>
      <c r="AX121" s="541">
        <v>0</v>
      </c>
      <c r="AY121" s="541">
        <v>0</v>
      </c>
      <c r="AZ121" s="541">
        <v>0</v>
      </c>
      <c r="BA121" s="541">
        <v>0</v>
      </c>
      <c r="BB121" s="541">
        <v>0</v>
      </c>
      <c r="BC121" s="544">
        <v>0</v>
      </c>
      <c r="BD121" s="544">
        <v>0</v>
      </c>
      <c r="BE121" s="547"/>
      <c r="BF121" s="565">
        <v>0</v>
      </c>
      <c r="BG121" s="565">
        <v>0</v>
      </c>
      <c r="BH121" s="565">
        <v>0</v>
      </c>
      <c r="BI121" s="565">
        <v>0</v>
      </c>
      <c r="BJ121" s="565">
        <v>0</v>
      </c>
      <c r="BK121" s="512">
        <v>0</v>
      </c>
      <c r="BL121" s="514"/>
      <c r="BM121" s="512">
        <v>0</v>
      </c>
      <c r="BN121" s="512">
        <v>0</v>
      </c>
    </row>
    <row r="122" spans="1:66" ht="13.2" x14ac:dyDescent="0.25">
      <c r="A122" s="515" t="s">
        <v>614</v>
      </c>
      <c r="B122" s="517">
        <v>3351</v>
      </c>
      <c r="C122" s="517" t="s">
        <v>335</v>
      </c>
      <c r="D122" s="517" t="s">
        <v>36</v>
      </c>
      <c r="E122" s="518" t="s">
        <v>734</v>
      </c>
      <c r="F122" s="540"/>
      <c r="G122" s="540"/>
      <c r="H122" s="540"/>
      <c r="I122" s="540">
        <v>4274.166666666667</v>
      </c>
      <c r="J122" s="540">
        <v>1600</v>
      </c>
      <c r="K122" s="540">
        <v>1600</v>
      </c>
      <c r="L122" s="541">
        <v>0</v>
      </c>
      <c r="M122" s="541" t="s">
        <v>1476</v>
      </c>
      <c r="N122" s="541">
        <v>0</v>
      </c>
      <c r="O122" s="541">
        <v>0</v>
      </c>
      <c r="P122" s="541">
        <v>0</v>
      </c>
      <c r="Q122" s="541">
        <v>0</v>
      </c>
      <c r="R122" s="541">
        <v>0</v>
      </c>
      <c r="S122" s="542" t="s">
        <v>1476</v>
      </c>
      <c r="T122" s="541">
        <v>31426.25</v>
      </c>
      <c r="U122" s="541">
        <v>31426.25</v>
      </c>
      <c r="V122" s="541">
        <v>31426.25</v>
      </c>
      <c r="W122" s="541">
        <v>31426.25</v>
      </c>
      <c r="X122" s="543" t="s">
        <v>1476</v>
      </c>
      <c r="Y122" s="541">
        <v>0</v>
      </c>
      <c r="Z122" s="541">
        <v>17790</v>
      </c>
      <c r="AA122" s="541">
        <v>0</v>
      </c>
      <c r="AB122" s="541">
        <v>0</v>
      </c>
      <c r="AC122" s="541">
        <v>0</v>
      </c>
      <c r="AD122" s="541">
        <v>0</v>
      </c>
      <c r="AE122" s="541">
        <v>0</v>
      </c>
      <c r="AF122" s="541">
        <v>0</v>
      </c>
      <c r="AG122" s="541">
        <v>0</v>
      </c>
      <c r="AH122" s="541">
        <v>9541</v>
      </c>
      <c r="AI122" s="541">
        <v>3056</v>
      </c>
      <c r="AJ122" s="541">
        <v>1082</v>
      </c>
      <c r="AK122" s="541">
        <v>0</v>
      </c>
      <c r="AL122" s="541">
        <v>0</v>
      </c>
      <c r="AM122" s="541">
        <v>0</v>
      </c>
      <c r="AN122" s="541">
        <v>0</v>
      </c>
      <c r="AO122" s="541">
        <v>0</v>
      </c>
      <c r="AP122" s="541">
        <v>0</v>
      </c>
      <c r="AQ122" s="541">
        <v>0</v>
      </c>
      <c r="AR122" s="541">
        <v>0</v>
      </c>
      <c r="AS122" s="541">
        <v>0</v>
      </c>
      <c r="AT122" s="543">
        <v>7000</v>
      </c>
      <c r="AU122" s="541">
        <v>0</v>
      </c>
      <c r="AV122" s="541">
        <v>2894.0625</v>
      </c>
      <c r="AW122" s="541">
        <v>0</v>
      </c>
      <c r="AX122" s="541">
        <v>6742.5</v>
      </c>
      <c r="AY122" s="541">
        <v>2894.0625</v>
      </c>
      <c r="AZ122" s="541">
        <v>0</v>
      </c>
      <c r="BA122" s="541">
        <v>0</v>
      </c>
      <c r="BB122" s="541">
        <v>0</v>
      </c>
      <c r="BC122" s="544">
        <v>184178.79166666666</v>
      </c>
      <c r="BD122" s="544">
        <v>184178.79166666666</v>
      </c>
      <c r="BE122" s="511"/>
      <c r="BF122" s="565">
        <v>176704.625</v>
      </c>
      <c r="BG122" s="565">
        <v>7474.166666666667</v>
      </c>
      <c r="BH122" s="565">
        <v>0</v>
      </c>
      <c r="BI122" s="565">
        <v>0</v>
      </c>
      <c r="BJ122" s="565">
        <v>184178.79166666666</v>
      </c>
      <c r="BK122" s="565">
        <v>0</v>
      </c>
      <c r="BL122" s="511"/>
      <c r="BM122" s="565">
        <v>125705</v>
      </c>
      <c r="BN122" s="565">
        <v>0</v>
      </c>
    </row>
    <row r="123" spans="1:66" ht="13.2" x14ac:dyDescent="0.25">
      <c r="A123" s="515" t="s">
        <v>614</v>
      </c>
      <c r="B123" s="517">
        <v>3328</v>
      </c>
      <c r="C123" s="517" t="s">
        <v>337</v>
      </c>
      <c r="D123" s="517" t="s">
        <v>36</v>
      </c>
      <c r="E123" s="518" t="s">
        <v>735</v>
      </c>
      <c r="F123" s="540"/>
      <c r="G123" s="540"/>
      <c r="H123" s="540"/>
      <c r="I123" s="540">
        <v>8463.9274999999998</v>
      </c>
      <c r="J123" s="540">
        <v>11267.138399999996</v>
      </c>
      <c r="K123" s="540">
        <v>13228.5425</v>
      </c>
      <c r="L123" s="541">
        <v>7488</v>
      </c>
      <c r="M123" s="541" t="s">
        <v>1476</v>
      </c>
      <c r="N123" s="541">
        <v>0</v>
      </c>
      <c r="O123" s="541">
        <v>0</v>
      </c>
      <c r="P123" s="541">
        <v>0</v>
      </c>
      <c r="Q123" s="541">
        <v>0</v>
      </c>
      <c r="R123" s="541">
        <v>0</v>
      </c>
      <c r="S123" s="542" t="s">
        <v>1476</v>
      </c>
      <c r="T123" s="541">
        <v>15803.75</v>
      </c>
      <c r="U123" s="541">
        <v>15803.75</v>
      </c>
      <c r="V123" s="541">
        <v>15803.75</v>
      </c>
      <c r="W123" s="541">
        <v>15803.75</v>
      </c>
      <c r="X123" s="543" t="s">
        <v>1476</v>
      </c>
      <c r="Y123" s="541">
        <v>0</v>
      </c>
      <c r="Z123" s="541">
        <v>17791</v>
      </c>
      <c r="AA123" s="541">
        <v>0</v>
      </c>
      <c r="AB123" s="541">
        <v>0</v>
      </c>
      <c r="AC123" s="541">
        <v>0</v>
      </c>
      <c r="AD123" s="541">
        <v>0</v>
      </c>
      <c r="AE123" s="541">
        <v>0</v>
      </c>
      <c r="AF123" s="541">
        <v>0</v>
      </c>
      <c r="AG123" s="541">
        <v>0</v>
      </c>
      <c r="AH123" s="541">
        <v>32864</v>
      </c>
      <c r="AI123" s="541">
        <v>2391</v>
      </c>
      <c r="AJ123" s="541">
        <v>847</v>
      </c>
      <c r="AK123" s="541">
        <v>0</v>
      </c>
      <c r="AL123" s="541">
        <v>0</v>
      </c>
      <c r="AM123" s="541">
        <v>0</v>
      </c>
      <c r="AN123" s="541">
        <v>0</v>
      </c>
      <c r="AO123" s="541">
        <v>0</v>
      </c>
      <c r="AP123" s="541">
        <v>0</v>
      </c>
      <c r="AQ123" s="541">
        <v>0</v>
      </c>
      <c r="AR123" s="541">
        <v>0</v>
      </c>
      <c r="AS123" s="541">
        <v>0</v>
      </c>
      <c r="AT123" s="543">
        <v>6930</v>
      </c>
      <c r="AU123" s="541">
        <v>0</v>
      </c>
      <c r="AV123" s="541">
        <v>1594.6875</v>
      </c>
      <c r="AW123" s="541">
        <v>0</v>
      </c>
      <c r="AX123" s="541">
        <v>3407.5</v>
      </c>
      <c r="AY123" s="541">
        <v>1594.6875</v>
      </c>
      <c r="AZ123" s="541">
        <v>0</v>
      </c>
      <c r="BA123" s="541">
        <v>0</v>
      </c>
      <c r="BB123" s="541">
        <v>0</v>
      </c>
      <c r="BC123" s="544">
        <v>171082.4834</v>
      </c>
      <c r="BD123" s="544">
        <v>171082.4834</v>
      </c>
      <c r="BE123" s="511"/>
      <c r="BF123" s="565">
        <v>130634.875</v>
      </c>
      <c r="BG123" s="565">
        <v>40447.608399999997</v>
      </c>
      <c r="BH123" s="565">
        <v>0</v>
      </c>
      <c r="BI123" s="565">
        <v>0</v>
      </c>
      <c r="BJ123" s="565">
        <v>171082.4834</v>
      </c>
      <c r="BK123" s="565">
        <v>0</v>
      </c>
      <c r="BL123" s="511"/>
      <c r="BM123" s="565">
        <v>63215</v>
      </c>
      <c r="BN123" s="565">
        <v>0</v>
      </c>
    </row>
    <row r="124" spans="1:66" s="403" customFormat="1" ht="13.2" x14ac:dyDescent="0.25">
      <c r="A124" s="547" t="s">
        <v>618</v>
      </c>
      <c r="B124" s="548">
        <v>3357</v>
      </c>
      <c r="C124" s="548" t="s">
        <v>339</v>
      </c>
      <c r="D124" s="548" t="s">
        <v>36</v>
      </c>
      <c r="E124" s="549" t="s">
        <v>736</v>
      </c>
      <c r="F124" s="550"/>
      <c r="G124" s="550"/>
      <c r="H124" s="550"/>
      <c r="I124" s="550">
        <v>0</v>
      </c>
      <c r="J124" s="550">
        <v>0</v>
      </c>
      <c r="K124" s="550">
        <v>0</v>
      </c>
      <c r="L124" s="541">
        <v>0</v>
      </c>
      <c r="M124" s="541" t="s">
        <v>1476</v>
      </c>
      <c r="N124" s="541">
        <v>0</v>
      </c>
      <c r="O124" s="541">
        <v>0</v>
      </c>
      <c r="P124" s="541">
        <v>0</v>
      </c>
      <c r="Q124" s="541">
        <v>0</v>
      </c>
      <c r="R124" s="541">
        <v>0</v>
      </c>
      <c r="S124" s="542" t="s">
        <v>1476</v>
      </c>
      <c r="T124" s="541">
        <v>0</v>
      </c>
      <c r="U124" s="541">
        <v>0</v>
      </c>
      <c r="V124" s="541">
        <v>0</v>
      </c>
      <c r="W124" s="541" t="s">
        <v>1476</v>
      </c>
      <c r="X124" s="543" t="s">
        <v>1476</v>
      </c>
      <c r="Y124" s="541">
        <v>0</v>
      </c>
      <c r="Z124" s="541">
        <v>0</v>
      </c>
      <c r="AA124" s="541">
        <v>0</v>
      </c>
      <c r="AB124" s="541">
        <v>0</v>
      </c>
      <c r="AC124" s="541">
        <v>0</v>
      </c>
      <c r="AD124" s="541">
        <v>0</v>
      </c>
      <c r="AE124" s="541">
        <v>0</v>
      </c>
      <c r="AF124" s="541">
        <v>0</v>
      </c>
      <c r="AG124" s="541">
        <v>0</v>
      </c>
      <c r="AH124" s="541">
        <v>0</v>
      </c>
      <c r="AI124" s="541">
        <v>0</v>
      </c>
      <c r="AJ124" s="541">
        <v>0</v>
      </c>
      <c r="AK124" s="541">
        <v>0</v>
      </c>
      <c r="AL124" s="541">
        <v>0</v>
      </c>
      <c r="AM124" s="541">
        <v>0</v>
      </c>
      <c r="AN124" s="541">
        <v>0</v>
      </c>
      <c r="AO124" s="541">
        <v>0</v>
      </c>
      <c r="AP124" s="541">
        <v>0</v>
      </c>
      <c r="AQ124" s="541">
        <v>0</v>
      </c>
      <c r="AR124" s="541">
        <v>0</v>
      </c>
      <c r="AS124" s="541">
        <v>0</v>
      </c>
      <c r="AT124" s="543">
        <v>0</v>
      </c>
      <c r="AU124" s="541">
        <v>0</v>
      </c>
      <c r="AV124" s="541">
        <v>0</v>
      </c>
      <c r="AW124" s="541">
        <v>0</v>
      </c>
      <c r="AX124" s="541">
        <v>0</v>
      </c>
      <c r="AY124" s="541">
        <v>0</v>
      </c>
      <c r="AZ124" s="541">
        <v>0</v>
      </c>
      <c r="BA124" s="541">
        <v>0</v>
      </c>
      <c r="BB124" s="541">
        <v>0</v>
      </c>
      <c r="BC124" s="544">
        <v>0</v>
      </c>
      <c r="BD124" s="544">
        <v>0</v>
      </c>
      <c r="BE124" s="547"/>
      <c r="BF124" s="565">
        <v>0</v>
      </c>
      <c r="BG124" s="565">
        <v>0</v>
      </c>
      <c r="BH124" s="565">
        <v>0</v>
      </c>
      <c r="BI124" s="565">
        <v>0</v>
      </c>
      <c r="BJ124" s="565">
        <v>0</v>
      </c>
      <c r="BK124" s="512">
        <v>0</v>
      </c>
      <c r="BL124" s="514"/>
      <c r="BM124" s="512">
        <v>0</v>
      </c>
      <c r="BN124" s="512">
        <v>0</v>
      </c>
    </row>
    <row r="125" spans="1:66" ht="13.2" x14ac:dyDescent="0.25">
      <c r="A125" s="515" t="s">
        <v>614</v>
      </c>
      <c r="B125" s="517">
        <v>2021</v>
      </c>
      <c r="C125" s="517" t="s">
        <v>341</v>
      </c>
      <c r="D125" s="517" t="s">
        <v>36</v>
      </c>
      <c r="E125" s="518" t="s">
        <v>737</v>
      </c>
      <c r="F125" s="540"/>
      <c r="G125" s="540"/>
      <c r="H125" s="540"/>
      <c r="I125" s="540">
        <v>12362.916666666668</v>
      </c>
      <c r="J125" s="540">
        <v>1388</v>
      </c>
      <c r="K125" s="540">
        <v>23572.166666666664</v>
      </c>
      <c r="L125" s="541">
        <v>12322</v>
      </c>
      <c r="M125" s="541" t="s">
        <v>1476</v>
      </c>
      <c r="N125" s="541">
        <v>0</v>
      </c>
      <c r="O125" s="541">
        <v>0</v>
      </c>
      <c r="P125" s="541">
        <v>0</v>
      </c>
      <c r="Q125" s="541">
        <v>0</v>
      </c>
      <c r="R125" s="541">
        <v>0</v>
      </c>
      <c r="S125" s="542">
        <v>0</v>
      </c>
      <c r="T125" s="541">
        <v>71603.75</v>
      </c>
      <c r="U125" s="541">
        <v>71603.75</v>
      </c>
      <c r="V125" s="541">
        <v>71603.75</v>
      </c>
      <c r="W125" s="541">
        <v>71603.75</v>
      </c>
      <c r="X125" s="543" t="s">
        <v>1476</v>
      </c>
      <c r="Y125" s="541">
        <v>0</v>
      </c>
      <c r="Z125" s="541">
        <v>19138</v>
      </c>
      <c r="AA125" s="541">
        <v>0</v>
      </c>
      <c r="AB125" s="541">
        <v>0</v>
      </c>
      <c r="AC125" s="541">
        <v>0</v>
      </c>
      <c r="AD125" s="541">
        <v>0</v>
      </c>
      <c r="AE125" s="541">
        <v>0</v>
      </c>
      <c r="AF125" s="541">
        <v>0</v>
      </c>
      <c r="AG125" s="541">
        <v>0</v>
      </c>
      <c r="AH125" s="541">
        <v>13801</v>
      </c>
      <c r="AI125" s="541">
        <v>2391</v>
      </c>
      <c r="AJ125" s="541">
        <v>847</v>
      </c>
      <c r="AK125" s="541">
        <v>0</v>
      </c>
      <c r="AL125" s="541">
        <v>0</v>
      </c>
      <c r="AM125" s="541">
        <v>0</v>
      </c>
      <c r="AN125" s="541">
        <v>0</v>
      </c>
      <c r="AO125" s="541">
        <v>0</v>
      </c>
      <c r="AP125" s="541">
        <v>6953.5</v>
      </c>
      <c r="AQ125" s="541">
        <v>0</v>
      </c>
      <c r="AR125" s="541">
        <v>1200</v>
      </c>
      <c r="AS125" s="541">
        <v>0</v>
      </c>
      <c r="AT125" s="543">
        <v>11600</v>
      </c>
      <c r="AU125" s="541">
        <v>0</v>
      </c>
      <c r="AV125" s="541">
        <v>6923.4375</v>
      </c>
      <c r="AW125" s="541">
        <v>0</v>
      </c>
      <c r="AX125" s="541">
        <v>15561.5</v>
      </c>
      <c r="AY125" s="541">
        <v>6923.4375</v>
      </c>
      <c r="AZ125" s="541">
        <v>0</v>
      </c>
      <c r="BA125" s="541">
        <v>0</v>
      </c>
      <c r="BB125" s="541">
        <v>0</v>
      </c>
      <c r="BC125" s="544">
        <v>421398.95833333331</v>
      </c>
      <c r="BD125" s="544">
        <v>421398.95833333331</v>
      </c>
      <c r="BE125" s="511"/>
      <c r="BF125" s="565">
        <v>371753.875</v>
      </c>
      <c r="BG125" s="565">
        <v>49645.083333333328</v>
      </c>
      <c r="BH125" s="565">
        <v>0</v>
      </c>
      <c r="BI125" s="565">
        <v>0</v>
      </c>
      <c r="BJ125" s="565">
        <v>421398.95833333331</v>
      </c>
      <c r="BK125" s="565">
        <v>0</v>
      </c>
      <c r="BL125" s="511"/>
      <c r="BM125" s="565">
        <v>286415</v>
      </c>
      <c r="BN125" s="565">
        <v>0</v>
      </c>
    </row>
    <row r="126" spans="1:66" ht="13.2" x14ac:dyDescent="0.25">
      <c r="A126" s="515" t="s">
        <v>618</v>
      </c>
      <c r="B126" s="517">
        <v>2149</v>
      </c>
      <c r="C126" s="517" t="s">
        <v>343</v>
      </c>
      <c r="D126" s="517" t="s">
        <v>36</v>
      </c>
      <c r="E126" s="518" t="s">
        <v>738</v>
      </c>
      <c r="F126" s="540"/>
      <c r="G126" s="540"/>
      <c r="H126" s="540"/>
      <c r="I126" s="540">
        <v>1692.0833333333335</v>
      </c>
      <c r="J126" s="540">
        <v>11712.333333333334</v>
      </c>
      <c r="K126" s="540">
        <v>18034.247500000001</v>
      </c>
      <c r="L126" s="541">
        <v>7156</v>
      </c>
      <c r="M126" s="541" t="s">
        <v>1476</v>
      </c>
      <c r="N126" s="541">
        <v>0</v>
      </c>
      <c r="O126" s="541">
        <v>0</v>
      </c>
      <c r="P126" s="541">
        <v>0</v>
      </c>
      <c r="Q126" s="541">
        <v>46352.52460201853</v>
      </c>
      <c r="R126" s="541">
        <v>37082.019681614824</v>
      </c>
      <c r="S126" s="542">
        <v>32884.720000000001</v>
      </c>
      <c r="T126" s="541">
        <v>59085</v>
      </c>
      <c r="U126" s="541">
        <v>59085</v>
      </c>
      <c r="V126" s="541">
        <v>58412.5</v>
      </c>
      <c r="W126" s="541">
        <v>57067.5</v>
      </c>
      <c r="X126" s="543" t="s">
        <v>1476</v>
      </c>
      <c r="Y126" s="541">
        <v>0</v>
      </c>
      <c r="Z126" s="541">
        <v>19365</v>
      </c>
      <c r="AA126" s="541">
        <v>0</v>
      </c>
      <c r="AB126" s="541">
        <v>0</v>
      </c>
      <c r="AC126" s="541">
        <v>0</v>
      </c>
      <c r="AD126" s="541">
        <v>0</v>
      </c>
      <c r="AE126" s="541">
        <v>0</v>
      </c>
      <c r="AF126" s="541">
        <v>0</v>
      </c>
      <c r="AG126" s="541">
        <v>0</v>
      </c>
      <c r="AH126" s="541">
        <v>29047</v>
      </c>
      <c r="AI126" s="541">
        <v>3189</v>
      </c>
      <c r="AJ126" s="541">
        <v>1128</v>
      </c>
      <c r="AK126" s="541">
        <v>0</v>
      </c>
      <c r="AL126" s="541">
        <v>0</v>
      </c>
      <c r="AM126" s="541">
        <v>0</v>
      </c>
      <c r="AN126" s="541">
        <v>0</v>
      </c>
      <c r="AO126" s="541">
        <v>0</v>
      </c>
      <c r="AP126" s="541">
        <v>0</v>
      </c>
      <c r="AQ126" s="541">
        <v>0</v>
      </c>
      <c r="AR126" s="541">
        <v>1200</v>
      </c>
      <c r="AS126" s="541">
        <v>0</v>
      </c>
      <c r="AT126" s="543">
        <v>12800</v>
      </c>
      <c r="AU126" s="541">
        <v>0</v>
      </c>
      <c r="AV126" s="541">
        <v>5610.9375</v>
      </c>
      <c r="AW126" s="541">
        <v>0</v>
      </c>
      <c r="AX126" s="541">
        <v>12325</v>
      </c>
      <c r="AY126" s="541">
        <v>5492.8125</v>
      </c>
      <c r="AZ126" s="541">
        <v>0</v>
      </c>
      <c r="BA126" s="541">
        <v>0</v>
      </c>
      <c r="BB126" s="541">
        <v>0</v>
      </c>
      <c r="BC126" s="544">
        <v>478721.67845030001</v>
      </c>
      <c r="BD126" s="544">
        <v>478721.67845030001</v>
      </c>
      <c r="BE126" s="511"/>
      <c r="BF126" s="565">
        <v>323807.75</v>
      </c>
      <c r="BG126" s="565">
        <v>154913.92845030001</v>
      </c>
      <c r="BH126" s="565">
        <v>0</v>
      </c>
      <c r="BI126" s="565">
        <v>0</v>
      </c>
      <c r="BJ126" s="565">
        <v>478721.67845030001</v>
      </c>
      <c r="BK126" s="565">
        <v>0</v>
      </c>
      <c r="BL126" s="511"/>
      <c r="BM126" s="565">
        <v>233650</v>
      </c>
      <c r="BN126" s="565">
        <v>116319.26428363335</v>
      </c>
    </row>
    <row r="127" spans="1:66" ht="13.2" x14ac:dyDescent="0.25">
      <c r="A127" s="515" t="s">
        <v>618</v>
      </c>
      <c r="B127" s="517">
        <v>2150</v>
      </c>
      <c r="C127" s="517" t="s">
        <v>345</v>
      </c>
      <c r="D127" s="517" t="s">
        <v>36</v>
      </c>
      <c r="E127" s="518" t="s">
        <v>739</v>
      </c>
      <c r="F127" s="540"/>
      <c r="G127" s="540"/>
      <c r="H127" s="540"/>
      <c r="I127" s="540">
        <v>20778.160416666666</v>
      </c>
      <c r="J127" s="540">
        <v>12493.333333333332</v>
      </c>
      <c r="K127" s="540">
        <v>39289</v>
      </c>
      <c r="L127" s="541">
        <v>2564.6666666666665</v>
      </c>
      <c r="M127" s="541" t="s">
        <v>1476</v>
      </c>
      <c r="N127" s="541">
        <v>0</v>
      </c>
      <c r="O127" s="541">
        <v>0</v>
      </c>
      <c r="P127" s="541">
        <v>0</v>
      </c>
      <c r="Q127" s="541">
        <v>0</v>
      </c>
      <c r="R127" s="541">
        <v>0</v>
      </c>
      <c r="S127" s="542" t="s">
        <v>1476</v>
      </c>
      <c r="T127" s="541">
        <v>51446.25</v>
      </c>
      <c r="U127" s="541">
        <v>51446.25</v>
      </c>
      <c r="V127" s="541">
        <v>50437.5</v>
      </c>
      <c r="W127" s="541">
        <v>48420</v>
      </c>
      <c r="X127" s="543" t="s">
        <v>1476</v>
      </c>
      <c r="Y127" s="541">
        <v>0</v>
      </c>
      <c r="Z127" s="541">
        <v>19558</v>
      </c>
      <c r="AA127" s="541">
        <v>0</v>
      </c>
      <c r="AB127" s="541">
        <v>0</v>
      </c>
      <c r="AC127" s="541">
        <v>0</v>
      </c>
      <c r="AD127" s="541">
        <v>0</v>
      </c>
      <c r="AE127" s="541">
        <v>0</v>
      </c>
      <c r="AF127" s="541">
        <v>0</v>
      </c>
      <c r="AG127" s="541">
        <v>0</v>
      </c>
      <c r="AH127" s="541">
        <v>23657</v>
      </c>
      <c r="AI127" s="541">
        <v>3588</v>
      </c>
      <c r="AJ127" s="541">
        <v>1270</v>
      </c>
      <c r="AK127" s="541">
        <v>0</v>
      </c>
      <c r="AL127" s="541">
        <v>0</v>
      </c>
      <c r="AM127" s="541">
        <v>0</v>
      </c>
      <c r="AN127" s="541">
        <v>0</v>
      </c>
      <c r="AO127" s="541">
        <v>0</v>
      </c>
      <c r="AP127" s="541">
        <v>0</v>
      </c>
      <c r="AQ127" s="541">
        <v>0</v>
      </c>
      <c r="AR127" s="541">
        <v>0</v>
      </c>
      <c r="AS127" s="541">
        <v>0</v>
      </c>
      <c r="AT127" s="543">
        <v>12700</v>
      </c>
      <c r="AU127" s="541">
        <v>0</v>
      </c>
      <c r="AV127" s="541">
        <v>4665.9375</v>
      </c>
      <c r="AW127" s="541">
        <v>0</v>
      </c>
      <c r="AX127" s="541">
        <v>10875</v>
      </c>
      <c r="AY127" s="541">
        <v>4429.6875</v>
      </c>
      <c r="AZ127" s="541">
        <v>0</v>
      </c>
      <c r="BA127" s="541">
        <v>0</v>
      </c>
      <c r="BB127" s="541">
        <v>0</v>
      </c>
      <c r="BC127" s="544">
        <v>357618.78541666665</v>
      </c>
      <c r="BD127" s="544">
        <v>357618.78541666665</v>
      </c>
      <c r="BE127" s="511"/>
      <c r="BF127" s="565">
        <v>282493.625</v>
      </c>
      <c r="BG127" s="565">
        <v>75125.160416666666</v>
      </c>
      <c r="BH127" s="565">
        <v>0</v>
      </c>
      <c r="BI127" s="565">
        <v>0</v>
      </c>
      <c r="BJ127" s="565">
        <v>357618.78541666665</v>
      </c>
      <c r="BK127" s="565">
        <v>0</v>
      </c>
      <c r="BL127" s="511"/>
      <c r="BM127" s="565">
        <v>201750</v>
      </c>
      <c r="BN127" s="565">
        <v>0</v>
      </c>
    </row>
    <row r="128" spans="1:66" ht="13.2" x14ac:dyDescent="0.25">
      <c r="A128" s="515" t="s">
        <v>618</v>
      </c>
      <c r="B128" s="517">
        <v>2425</v>
      </c>
      <c r="C128" s="517" t="s">
        <v>347</v>
      </c>
      <c r="D128" s="517" t="s">
        <v>36</v>
      </c>
      <c r="E128" s="518" t="s">
        <v>740</v>
      </c>
      <c r="F128" s="540"/>
      <c r="G128" s="540"/>
      <c r="H128" s="540"/>
      <c r="I128" s="540">
        <v>2090</v>
      </c>
      <c r="J128" s="540">
        <v>0</v>
      </c>
      <c r="K128" s="540">
        <v>0</v>
      </c>
      <c r="L128" s="541">
        <v>0</v>
      </c>
      <c r="M128" s="541" t="s">
        <v>1476</v>
      </c>
      <c r="N128" s="541">
        <v>0</v>
      </c>
      <c r="O128" s="541">
        <v>0</v>
      </c>
      <c r="P128" s="541">
        <v>0</v>
      </c>
      <c r="Q128" s="541">
        <v>0</v>
      </c>
      <c r="R128" s="541">
        <v>0</v>
      </c>
      <c r="S128" s="542" t="s">
        <v>1476</v>
      </c>
      <c r="T128" s="541">
        <v>13096.25</v>
      </c>
      <c r="U128" s="541">
        <v>13096.25</v>
      </c>
      <c r="V128" s="541">
        <v>13096.25</v>
      </c>
      <c r="W128" s="541">
        <v>13096.25</v>
      </c>
      <c r="X128" s="543" t="s">
        <v>1476</v>
      </c>
      <c r="Y128" s="541">
        <v>0</v>
      </c>
      <c r="Z128" s="541">
        <v>17808</v>
      </c>
      <c r="AA128" s="541">
        <v>0</v>
      </c>
      <c r="AB128" s="541">
        <v>0</v>
      </c>
      <c r="AC128" s="541">
        <v>0</v>
      </c>
      <c r="AD128" s="541">
        <v>0</v>
      </c>
      <c r="AE128" s="541">
        <v>0</v>
      </c>
      <c r="AF128" s="541">
        <v>0</v>
      </c>
      <c r="AG128" s="541">
        <v>0</v>
      </c>
      <c r="AH128" s="541">
        <v>33846</v>
      </c>
      <c r="AI128" s="541">
        <v>0</v>
      </c>
      <c r="AJ128" s="541">
        <v>0</v>
      </c>
      <c r="AK128" s="541">
        <v>0</v>
      </c>
      <c r="AL128" s="541">
        <v>0</v>
      </c>
      <c r="AM128" s="541">
        <v>0</v>
      </c>
      <c r="AN128" s="541">
        <v>0</v>
      </c>
      <c r="AO128" s="541">
        <v>0</v>
      </c>
      <c r="AP128" s="541">
        <v>0</v>
      </c>
      <c r="AQ128" s="541">
        <v>0</v>
      </c>
      <c r="AR128" s="541">
        <v>0</v>
      </c>
      <c r="AS128" s="541">
        <v>0</v>
      </c>
      <c r="AT128" s="543">
        <v>7060</v>
      </c>
      <c r="AU128" s="541">
        <v>0</v>
      </c>
      <c r="AV128" s="541">
        <v>1181.25</v>
      </c>
      <c r="AW128" s="541">
        <v>0</v>
      </c>
      <c r="AX128" s="541">
        <v>2537.5</v>
      </c>
      <c r="AY128" s="541">
        <v>1181.25</v>
      </c>
      <c r="AZ128" s="541">
        <v>0</v>
      </c>
      <c r="BA128" s="541">
        <v>0</v>
      </c>
      <c r="BB128" s="541">
        <v>0</v>
      </c>
      <c r="BC128" s="544">
        <v>118089</v>
      </c>
      <c r="BD128" s="544">
        <v>118089</v>
      </c>
      <c r="BE128" s="511"/>
      <c r="BF128" s="565">
        <v>115999</v>
      </c>
      <c r="BG128" s="565">
        <v>2090</v>
      </c>
      <c r="BH128" s="565">
        <v>0</v>
      </c>
      <c r="BI128" s="565">
        <v>0</v>
      </c>
      <c r="BJ128" s="565">
        <v>118089</v>
      </c>
      <c r="BK128" s="565">
        <v>0</v>
      </c>
      <c r="BL128" s="511"/>
      <c r="BM128" s="565">
        <v>52385</v>
      </c>
      <c r="BN128" s="565">
        <v>0</v>
      </c>
    </row>
    <row r="129" spans="1:66" ht="13.2" x14ac:dyDescent="0.25">
      <c r="A129" s="515" t="s">
        <v>618</v>
      </c>
      <c r="B129" s="517">
        <v>2017</v>
      </c>
      <c r="C129" s="517" t="s">
        <v>349</v>
      </c>
      <c r="D129" s="517" t="s">
        <v>36</v>
      </c>
      <c r="E129" s="518" t="s">
        <v>741</v>
      </c>
      <c r="F129" s="540"/>
      <c r="G129" s="540"/>
      <c r="H129" s="540"/>
      <c r="I129" s="540">
        <v>7616.9308333333338</v>
      </c>
      <c r="J129" s="540">
        <v>12731.211333333333</v>
      </c>
      <c r="K129" s="540">
        <v>13541.7675</v>
      </c>
      <c r="L129" s="541">
        <v>89713</v>
      </c>
      <c r="M129" s="541" t="s">
        <v>1476</v>
      </c>
      <c r="N129" s="541">
        <v>0</v>
      </c>
      <c r="O129" s="541">
        <v>0</v>
      </c>
      <c r="P129" s="541">
        <v>0</v>
      </c>
      <c r="Q129" s="541">
        <v>0</v>
      </c>
      <c r="R129" s="541">
        <v>0</v>
      </c>
      <c r="S129" s="542" t="s">
        <v>1476</v>
      </c>
      <c r="T129" s="541">
        <v>24710</v>
      </c>
      <c r="U129" s="541">
        <v>24710</v>
      </c>
      <c r="V129" s="541">
        <v>24710</v>
      </c>
      <c r="W129" s="541">
        <v>24710</v>
      </c>
      <c r="X129" s="543" t="s">
        <v>1476</v>
      </c>
      <c r="Y129" s="541">
        <v>0</v>
      </c>
      <c r="Z129" s="541">
        <v>17800</v>
      </c>
      <c r="AA129" s="541">
        <v>0</v>
      </c>
      <c r="AB129" s="541">
        <v>0</v>
      </c>
      <c r="AC129" s="541">
        <v>0</v>
      </c>
      <c r="AD129" s="541">
        <v>0</v>
      </c>
      <c r="AE129" s="541">
        <v>0</v>
      </c>
      <c r="AF129" s="541">
        <v>0</v>
      </c>
      <c r="AG129" s="541">
        <v>0</v>
      </c>
      <c r="AH129" s="541">
        <v>81677</v>
      </c>
      <c r="AI129" s="541">
        <v>0</v>
      </c>
      <c r="AJ129" s="541">
        <v>0</v>
      </c>
      <c r="AK129" s="541">
        <v>0</v>
      </c>
      <c r="AL129" s="541">
        <v>0</v>
      </c>
      <c r="AM129" s="541">
        <v>0</v>
      </c>
      <c r="AN129" s="541">
        <v>0</v>
      </c>
      <c r="AO129" s="541">
        <v>0</v>
      </c>
      <c r="AP129" s="541">
        <v>0</v>
      </c>
      <c r="AQ129" s="541">
        <v>0</v>
      </c>
      <c r="AR129" s="541">
        <v>1200</v>
      </c>
      <c r="AS129" s="541">
        <v>0</v>
      </c>
      <c r="AT129" s="543">
        <v>8960</v>
      </c>
      <c r="AU129" s="541">
        <v>0</v>
      </c>
      <c r="AV129" s="541">
        <v>2008.1250000000002</v>
      </c>
      <c r="AW129" s="541">
        <v>0</v>
      </c>
      <c r="AX129" s="541">
        <v>5220</v>
      </c>
      <c r="AY129" s="541">
        <v>2008.1250000000002</v>
      </c>
      <c r="AZ129" s="541">
        <v>0</v>
      </c>
      <c r="BA129" s="541">
        <v>0</v>
      </c>
      <c r="BB129" s="541">
        <v>0</v>
      </c>
      <c r="BC129" s="544">
        <v>341316.15966666664</v>
      </c>
      <c r="BD129" s="544">
        <v>341316.15966666664</v>
      </c>
      <c r="BE129" s="511"/>
      <c r="BF129" s="565">
        <v>217713.25</v>
      </c>
      <c r="BG129" s="565">
        <v>123602.90966666667</v>
      </c>
      <c r="BH129" s="565">
        <v>0</v>
      </c>
      <c r="BI129" s="565">
        <v>0</v>
      </c>
      <c r="BJ129" s="565">
        <v>341316.15966666664</v>
      </c>
      <c r="BK129" s="565">
        <v>0</v>
      </c>
      <c r="BL129" s="511"/>
      <c r="BM129" s="565">
        <v>98840</v>
      </c>
      <c r="BN129" s="565">
        <v>0</v>
      </c>
    </row>
    <row r="130" spans="1:66" ht="13.2" x14ac:dyDescent="0.25">
      <c r="A130" s="515" t="s">
        <v>618</v>
      </c>
      <c r="B130" s="517">
        <v>2016</v>
      </c>
      <c r="C130" s="517" t="s">
        <v>351</v>
      </c>
      <c r="D130" s="517" t="s">
        <v>36</v>
      </c>
      <c r="E130" s="518" t="s">
        <v>742</v>
      </c>
      <c r="F130" s="540"/>
      <c r="G130" s="540"/>
      <c r="H130" s="540"/>
      <c r="I130" s="540">
        <v>7742.9258333333346</v>
      </c>
      <c r="J130" s="540">
        <v>2028.684</v>
      </c>
      <c r="K130" s="540">
        <v>14538.179666666665</v>
      </c>
      <c r="L130" s="541">
        <v>5306</v>
      </c>
      <c r="M130" s="541" t="s">
        <v>1476</v>
      </c>
      <c r="N130" s="541">
        <v>0</v>
      </c>
      <c r="O130" s="541">
        <v>0</v>
      </c>
      <c r="P130" s="541">
        <v>0</v>
      </c>
      <c r="Q130" s="541">
        <v>0</v>
      </c>
      <c r="R130" s="541">
        <v>0</v>
      </c>
      <c r="S130" s="542" t="s">
        <v>1476</v>
      </c>
      <c r="T130" s="541">
        <v>39005</v>
      </c>
      <c r="U130" s="541">
        <v>39005</v>
      </c>
      <c r="V130" s="541">
        <v>39005</v>
      </c>
      <c r="W130" s="541">
        <v>39005</v>
      </c>
      <c r="X130" s="543" t="s">
        <v>1476</v>
      </c>
      <c r="Y130" s="541">
        <v>0</v>
      </c>
      <c r="Z130" s="541">
        <v>19607</v>
      </c>
      <c r="AA130" s="541">
        <v>0</v>
      </c>
      <c r="AB130" s="541">
        <v>0</v>
      </c>
      <c r="AC130" s="541">
        <v>0</v>
      </c>
      <c r="AD130" s="541">
        <v>0</v>
      </c>
      <c r="AE130" s="541">
        <v>0</v>
      </c>
      <c r="AF130" s="541">
        <v>0</v>
      </c>
      <c r="AG130" s="541">
        <v>0</v>
      </c>
      <c r="AH130" s="541">
        <v>0</v>
      </c>
      <c r="AI130" s="541">
        <v>0</v>
      </c>
      <c r="AJ130" s="541">
        <v>0</v>
      </c>
      <c r="AK130" s="541">
        <v>0</v>
      </c>
      <c r="AL130" s="541">
        <v>0</v>
      </c>
      <c r="AM130" s="541">
        <v>0</v>
      </c>
      <c r="AN130" s="541">
        <v>0</v>
      </c>
      <c r="AO130" s="541">
        <v>0</v>
      </c>
      <c r="AP130" s="541">
        <v>0</v>
      </c>
      <c r="AQ130" s="541">
        <v>0</v>
      </c>
      <c r="AR130" s="541">
        <v>1200</v>
      </c>
      <c r="AS130" s="541">
        <v>0</v>
      </c>
      <c r="AT130" s="543">
        <v>12000</v>
      </c>
      <c r="AU130" s="541">
        <v>0</v>
      </c>
      <c r="AV130" s="541">
        <v>4134.375</v>
      </c>
      <c r="AW130" s="541">
        <v>0</v>
      </c>
      <c r="AX130" s="541">
        <v>8410</v>
      </c>
      <c r="AY130" s="541">
        <v>4134.375</v>
      </c>
      <c r="AZ130" s="541">
        <v>0</v>
      </c>
      <c r="BA130" s="541">
        <v>0</v>
      </c>
      <c r="BB130" s="541">
        <v>0</v>
      </c>
      <c r="BC130" s="544">
        <v>235121.53950000001</v>
      </c>
      <c r="BD130" s="544">
        <v>235121.53950000001</v>
      </c>
      <c r="BE130" s="511"/>
      <c r="BF130" s="565">
        <v>205505.75</v>
      </c>
      <c r="BG130" s="565">
        <v>29615.789499999999</v>
      </c>
      <c r="BH130" s="565">
        <v>0</v>
      </c>
      <c r="BI130" s="565">
        <v>0</v>
      </c>
      <c r="BJ130" s="565">
        <v>235121.53950000001</v>
      </c>
      <c r="BK130" s="565">
        <v>0</v>
      </c>
      <c r="BL130" s="511"/>
      <c r="BM130" s="565">
        <v>156020</v>
      </c>
      <c r="BN130" s="565">
        <v>0</v>
      </c>
    </row>
    <row r="131" spans="1:66" ht="13.2" x14ac:dyDescent="0.25">
      <c r="A131" s="515" t="s">
        <v>618</v>
      </c>
      <c r="B131" s="517">
        <v>2157</v>
      </c>
      <c r="C131" s="517" t="s">
        <v>355</v>
      </c>
      <c r="D131" s="517" t="s">
        <v>36</v>
      </c>
      <c r="E131" s="518" t="s">
        <v>743</v>
      </c>
      <c r="F131" s="540"/>
      <c r="G131" s="540"/>
      <c r="H131" s="540"/>
      <c r="I131" s="540">
        <v>0</v>
      </c>
      <c r="J131" s="540">
        <v>0</v>
      </c>
      <c r="K131" s="540">
        <v>1600</v>
      </c>
      <c r="L131" s="541">
        <v>0</v>
      </c>
      <c r="M131" s="541" t="s">
        <v>1476</v>
      </c>
      <c r="N131" s="541">
        <v>0</v>
      </c>
      <c r="O131" s="541">
        <v>0</v>
      </c>
      <c r="P131" s="541">
        <v>0</v>
      </c>
      <c r="Q131" s="541">
        <v>0</v>
      </c>
      <c r="R131" s="541">
        <v>0</v>
      </c>
      <c r="S131" s="542" t="s">
        <v>1476</v>
      </c>
      <c r="T131" s="541">
        <v>32426.25</v>
      </c>
      <c r="U131" s="541">
        <v>32426.25</v>
      </c>
      <c r="V131" s="541">
        <v>32426.25</v>
      </c>
      <c r="W131" s="541">
        <v>32426.25</v>
      </c>
      <c r="X131" s="543" t="s">
        <v>1476</v>
      </c>
      <c r="Y131" s="541">
        <v>0</v>
      </c>
      <c r="Z131" s="541">
        <v>19235</v>
      </c>
      <c r="AA131" s="541">
        <v>0</v>
      </c>
      <c r="AB131" s="541">
        <v>0</v>
      </c>
      <c r="AC131" s="541">
        <v>0</v>
      </c>
      <c r="AD131" s="541">
        <v>0</v>
      </c>
      <c r="AE131" s="541">
        <v>0</v>
      </c>
      <c r="AF131" s="541">
        <v>0</v>
      </c>
      <c r="AG131" s="541">
        <v>0</v>
      </c>
      <c r="AH131" s="541">
        <v>51074</v>
      </c>
      <c r="AI131" s="541">
        <v>4119</v>
      </c>
      <c r="AJ131" s="541">
        <v>1457</v>
      </c>
      <c r="AK131" s="541">
        <v>0</v>
      </c>
      <c r="AL131" s="541">
        <v>0</v>
      </c>
      <c r="AM131" s="541">
        <v>0</v>
      </c>
      <c r="AN131" s="541">
        <v>0</v>
      </c>
      <c r="AO131" s="541">
        <v>0</v>
      </c>
      <c r="AP131" s="541">
        <v>1319.5</v>
      </c>
      <c r="AQ131" s="541">
        <v>0</v>
      </c>
      <c r="AR131" s="541">
        <v>1200</v>
      </c>
      <c r="AS131" s="541">
        <v>0</v>
      </c>
      <c r="AT131" s="543">
        <v>12830</v>
      </c>
      <c r="AU131" s="541">
        <v>0</v>
      </c>
      <c r="AV131" s="541">
        <v>2953.125</v>
      </c>
      <c r="AW131" s="541">
        <v>0</v>
      </c>
      <c r="AX131" s="541">
        <v>6742.5</v>
      </c>
      <c r="AY131" s="541">
        <v>2953.125</v>
      </c>
      <c r="AZ131" s="541">
        <v>0</v>
      </c>
      <c r="BA131" s="541">
        <v>0</v>
      </c>
      <c r="BB131" s="541">
        <v>0</v>
      </c>
      <c r="BC131" s="544">
        <v>235188.25</v>
      </c>
      <c r="BD131" s="544">
        <v>235188.25</v>
      </c>
      <c r="BE131" s="511"/>
      <c r="BF131" s="565">
        <v>233588.25</v>
      </c>
      <c r="BG131" s="565">
        <v>1600</v>
      </c>
      <c r="BH131" s="565">
        <v>0</v>
      </c>
      <c r="BI131" s="565">
        <v>0</v>
      </c>
      <c r="BJ131" s="565">
        <v>235188.25</v>
      </c>
      <c r="BK131" s="565">
        <v>0</v>
      </c>
      <c r="BL131" s="511"/>
      <c r="BM131" s="565">
        <v>129705</v>
      </c>
      <c r="BN131" s="565">
        <v>0</v>
      </c>
    </row>
    <row r="132" spans="1:66" ht="13.2" x14ac:dyDescent="0.25">
      <c r="A132" s="515" t="s">
        <v>618</v>
      </c>
      <c r="B132" s="517">
        <v>2159</v>
      </c>
      <c r="C132" s="517" t="s">
        <v>357</v>
      </c>
      <c r="D132" s="517" t="s">
        <v>36</v>
      </c>
      <c r="E132" s="518" t="s">
        <v>744</v>
      </c>
      <c r="F132" s="540"/>
      <c r="G132" s="540"/>
      <c r="H132" s="540"/>
      <c r="I132" s="540">
        <v>0</v>
      </c>
      <c r="J132" s="540">
        <v>8856.6666666666679</v>
      </c>
      <c r="K132" s="540">
        <v>7383.916666666667</v>
      </c>
      <c r="L132" s="541">
        <v>0</v>
      </c>
      <c r="M132" s="541" t="s">
        <v>1476</v>
      </c>
      <c r="N132" s="541">
        <v>0</v>
      </c>
      <c r="O132" s="541">
        <v>0</v>
      </c>
      <c r="P132" s="541">
        <v>0</v>
      </c>
      <c r="Q132" s="541">
        <v>0</v>
      </c>
      <c r="R132" s="541">
        <v>0</v>
      </c>
      <c r="S132" s="542" t="s">
        <v>1476</v>
      </c>
      <c r="T132" s="541">
        <v>25891.25</v>
      </c>
      <c r="U132" s="541">
        <v>25891.25</v>
      </c>
      <c r="V132" s="541">
        <v>25891.25</v>
      </c>
      <c r="W132" s="541">
        <v>25891.25</v>
      </c>
      <c r="X132" s="543" t="s">
        <v>1476</v>
      </c>
      <c r="Y132" s="541">
        <v>0</v>
      </c>
      <c r="Z132" s="541">
        <v>17789</v>
      </c>
      <c r="AA132" s="541">
        <v>0</v>
      </c>
      <c r="AB132" s="541">
        <v>0</v>
      </c>
      <c r="AC132" s="541">
        <v>0</v>
      </c>
      <c r="AD132" s="541">
        <v>0</v>
      </c>
      <c r="AE132" s="541">
        <v>0</v>
      </c>
      <c r="AF132" s="541">
        <v>0</v>
      </c>
      <c r="AG132" s="541">
        <v>0</v>
      </c>
      <c r="AH132" s="541">
        <v>16840</v>
      </c>
      <c r="AI132" s="541">
        <v>0</v>
      </c>
      <c r="AJ132" s="541">
        <v>0</v>
      </c>
      <c r="AK132" s="541">
        <v>0</v>
      </c>
      <c r="AL132" s="541">
        <v>0</v>
      </c>
      <c r="AM132" s="541">
        <v>0</v>
      </c>
      <c r="AN132" s="541">
        <v>0</v>
      </c>
      <c r="AO132" s="541">
        <v>0</v>
      </c>
      <c r="AP132" s="541">
        <v>0</v>
      </c>
      <c r="AQ132" s="541">
        <v>0</v>
      </c>
      <c r="AR132" s="541">
        <v>0</v>
      </c>
      <c r="AS132" s="541">
        <v>0</v>
      </c>
      <c r="AT132" s="543">
        <v>6730</v>
      </c>
      <c r="AU132" s="541">
        <v>0</v>
      </c>
      <c r="AV132" s="541">
        <v>2421.5625</v>
      </c>
      <c r="AW132" s="541">
        <v>0</v>
      </c>
      <c r="AX132" s="541">
        <v>5582.5</v>
      </c>
      <c r="AY132" s="541">
        <v>2421.5625</v>
      </c>
      <c r="AZ132" s="541">
        <v>0</v>
      </c>
      <c r="BA132" s="541">
        <v>0</v>
      </c>
      <c r="BB132" s="541">
        <v>0</v>
      </c>
      <c r="BC132" s="544">
        <v>171590.20833333334</v>
      </c>
      <c r="BD132" s="544">
        <v>171590.20833333334</v>
      </c>
      <c r="BE132" s="511"/>
      <c r="BF132" s="565">
        <v>155349.625</v>
      </c>
      <c r="BG132" s="565">
        <v>16240.583333333336</v>
      </c>
      <c r="BH132" s="565">
        <v>0</v>
      </c>
      <c r="BI132" s="565">
        <v>0</v>
      </c>
      <c r="BJ132" s="565">
        <v>171590.20833333334</v>
      </c>
      <c r="BK132" s="565">
        <v>0</v>
      </c>
      <c r="BL132" s="511"/>
      <c r="BM132" s="565">
        <v>103565</v>
      </c>
      <c r="BN132" s="565">
        <v>0</v>
      </c>
    </row>
    <row r="133" spans="1:66" ht="13.2" x14ac:dyDescent="0.25">
      <c r="A133" s="515" t="s">
        <v>618</v>
      </c>
      <c r="B133" s="517">
        <v>2161</v>
      </c>
      <c r="C133" s="517" t="s">
        <v>359</v>
      </c>
      <c r="D133" s="517" t="s">
        <v>36</v>
      </c>
      <c r="E133" s="518" t="s">
        <v>745</v>
      </c>
      <c r="F133" s="540"/>
      <c r="G133" s="540"/>
      <c r="H133" s="540"/>
      <c r="I133" s="540">
        <v>2265.8333333333335</v>
      </c>
      <c r="J133" s="540">
        <v>0</v>
      </c>
      <c r="K133" s="540">
        <v>6000</v>
      </c>
      <c r="L133" s="541">
        <v>0</v>
      </c>
      <c r="M133" s="541" t="s">
        <v>1476</v>
      </c>
      <c r="N133" s="541">
        <v>0</v>
      </c>
      <c r="O133" s="541">
        <v>0</v>
      </c>
      <c r="P133" s="541">
        <v>0</v>
      </c>
      <c r="Q133" s="541">
        <v>0</v>
      </c>
      <c r="R133" s="541">
        <v>0</v>
      </c>
      <c r="S133" s="542" t="s">
        <v>1476</v>
      </c>
      <c r="T133" s="541">
        <v>43781.25</v>
      </c>
      <c r="U133" s="541">
        <v>43781.25</v>
      </c>
      <c r="V133" s="541">
        <v>43781.25</v>
      </c>
      <c r="W133" s="541">
        <v>43781.25</v>
      </c>
      <c r="X133" s="543" t="s">
        <v>1476</v>
      </c>
      <c r="Y133" s="541">
        <v>0</v>
      </c>
      <c r="Z133" s="541">
        <v>17740</v>
      </c>
      <c r="AA133" s="541">
        <v>0</v>
      </c>
      <c r="AB133" s="541">
        <v>0</v>
      </c>
      <c r="AC133" s="541">
        <v>0</v>
      </c>
      <c r="AD133" s="541">
        <v>0</v>
      </c>
      <c r="AE133" s="541">
        <v>0</v>
      </c>
      <c r="AF133" s="541">
        <v>0</v>
      </c>
      <c r="AG133" s="541">
        <v>0</v>
      </c>
      <c r="AH133" s="541">
        <v>55242</v>
      </c>
      <c r="AI133" s="541">
        <v>5314</v>
      </c>
      <c r="AJ133" s="541">
        <v>1881</v>
      </c>
      <c r="AK133" s="541">
        <v>0</v>
      </c>
      <c r="AL133" s="541">
        <v>0</v>
      </c>
      <c r="AM133" s="541">
        <v>0</v>
      </c>
      <c r="AN133" s="541">
        <v>0</v>
      </c>
      <c r="AO133" s="541">
        <v>0</v>
      </c>
      <c r="AP133" s="541">
        <v>0</v>
      </c>
      <c r="AQ133" s="541">
        <v>0</v>
      </c>
      <c r="AR133" s="541">
        <v>1200</v>
      </c>
      <c r="AS133" s="541">
        <v>0</v>
      </c>
      <c r="AT133" s="543">
        <v>8930</v>
      </c>
      <c r="AU133" s="541">
        <v>0</v>
      </c>
      <c r="AV133" s="541">
        <v>3307.5</v>
      </c>
      <c r="AW133" s="541">
        <v>0</v>
      </c>
      <c r="AX133" s="541">
        <v>9352.5</v>
      </c>
      <c r="AY133" s="541">
        <v>3307.5</v>
      </c>
      <c r="AZ133" s="541">
        <v>0</v>
      </c>
      <c r="BA133" s="541">
        <v>0</v>
      </c>
      <c r="BB133" s="541">
        <v>0</v>
      </c>
      <c r="BC133" s="544">
        <v>289665.33333333337</v>
      </c>
      <c r="BD133" s="544">
        <v>289665.33333333337</v>
      </c>
      <c r="BE133" s="511"/>
      <c r="BF133" s="565">
        <v>281399.5</v>
      </c>
      <c r="BG133" s="565">
        <v>8265.8333333333339</v>
      </c>
      <c r="BH133" s="565">
        <v>0</v>
      </c>
      <c r="BI133" s="565">
        <v>0</v>
      </c>
      <c r="BJ133" s="565">
        <v>289665.33333333331</v>
      </c>
      <c r="BK133" s="565">
        <v>0</v>
      </c>
      <c r="BL133" s="511"/>
      <c r="BM133" s="565">
        <v>175125</v>
      </c>
      <c r="BN133" s="565">
        <v>0</v>
      </c>
    </row>
    <row r="134" spans="1:66" ht="13.2" x14ac:dyDescent="0.25">
      <c r="A134" s="515" t="s">
        <v>614</v>
      </c>
      <c r="B134" s="517">
        <v>2160</v>
      </c>
      <c r="C134" s="517" t="s">
        <v>361</v>
      </c>
      <c r="D134" s="517" t="s">
        <v>36</v>
      </c>
      <c r="E134" s="518" t="s">
        <v>746</v>
      </c>
      <c r="F134" s="540"/>
      <c r="G134" s="540"/>
      <c r="H134" s="540"/>
      <c r="I134" s="540">
        <v>515</v>
      </c>
      <c r="J134" s="540">
        <v>804.33333333333326</v>
      </c>
      <c r="K134" s="540">
        <v>6894.2475000000004</v>
      </c>
      <c r="L134" s="541">
        <v>11666.666666666666</v>
      </c>
      <c r="M134" s="541" t="s">
        <v>1476</v>
      </c>
      <c r="N134" s="541">
        <v>0</v>
      </c>
      <c r="O134" s="541">
        <v>0</v>
      </c>
      <c r="P134" s="541">
        <v>0</v>
      </c>
      <c r="Q134" s="541">
        <v>0</v>
      </c>
      <c r="R134" s="541">
        <v>0</v>
      </c>
      <c r="S134" s="542" t="s">
        <v>1476</v>
      </c>
      <c r="T134" s="541">
        <v>68491.25</v>
      </c>
      <c r="U134" s="541">
        <v>68491.25</v>
      </c>
      <c r="V134" s="541">
        <v>67818.75</v>
      </c>
      <c r="W134" s="541">
        <v>66473.75</v>
      </c>
      <c r="X134" s="543" t="s">
        <v>1476</v>
      </c>
      <c r="Y134" s="541">
        <v>0</v>
      </c>
      <c r="Z134" s="541">
        <v>19516</v>
      </c>
      <c r="AA134" s="541">
        <v>0</v>
      </c>
      <c r="AB134" s="541">
        <v>0</v>
      </c>
      <c r="AC134" s="541">
        <v>0</v>
      </c>
      <c r="AD134" s="541">
        <v>0</v>
      </c>
      <c r="AE134" s="541">
        <v>0</v>
      </c>
      <c r="AF134" s="541">
        <v>0</v>
      </c>
      <c r="AG134" s="541">
        <v>0</v>
      </c>
      <c r="AH134" s="541">
        <v>0</v>
      </c>
      <c r="AI134" s="541">
        <v>0</v>
      </c>
      <c r="AJ134" s="541">
        <v>0</v>
      </c>
      <c r="AK134" s="541">
        <v>0</v>
      </c>
      <c r="AL134" s="541">
        <v>0</v>
      </c>
      <c r="AM134" s="541">
        <v>0</v>
      </c>
      <c r="AN134" s="541">
        <v>0</v>
      </c>
      <c r="AO134" s="541">
        <v>0</v>
      </c>
      <c r="AP134" s="541">
        <v>1050</v>
      </c>
      <c r="AQ134" s="541">
        <v>0</v>
      </c>
      <c r="AR134" s="541">
        <v>1200</v>
      </c>
      <c r="AS134" s="541">
        <v>2284.15</v>
      </c>
      <c r="AT134" s="543">
        <v>11800</v>
      </c>
      <c r="AU134" s="541">
        <v>0</v>
      </c>
      <c r="AV134" s="541">
        <v>7146.5625</v>
      </c>
      <c r="AW134" s="541">
        <v>0</v>
      </c>
      <c r="AX134" s="541">
        <v>14427.5</v>
      </c>
      <c r="AY134" s="541">
        <v>6910.3125</v>
      </c>
      <c r="AZ134" s="541">
        <v>0</v>
      </c>
      <c r="BA134" s="541">
        <v>0</v>
      </c>
      <c r="BB134" s="541">
        <v>0</v>
      </c>
      <c r="BC134" s="544">
        <v>355489.77250000002</v>
      </c>
      <c r="BD134" s="544">
        <v>355489.77250000002</v>
      </c>
      <c r="BE134" s="511"/>
      <c r="BF134" s="565">
        <v>335609.52500000002</v>
      </c>
      <c r="BG134" s="565">
        <v>19880.247499999998</v>
      </c>
      <c r="BH134" s="565">
        <v>0</v>
      </c>
      <c r="BI134" s="565">
        <v>0</v>
      </c>
      <c r="BJ134" s="565">
        <v>355489.77250000002</v>
      </c>
      <c r="BK134" s="565">
        <v>0</v>
      </c>
      <c r="BL134" s="511"/>
      <c r="BM134" s="565">
        <v>271275</v>
      </c>
      <c r="BN134" s="565">
        <v>0</v>
      </c>
    </row>
    <row r="135" spans="1:66" ht="13.2" x14ac:dyDescent="0.25">
      <c r="A135" s="515" t="s">
        <v>614</v>
      </c>
      <c r="B135" s="517">
        <v>2063</v>
      </c>
      <c r="C135" s="517" t="s">
        <v>363</v>
      </c>
      <c r="D135" s="517" t="s">
        <v>36</v>
      </c>
      <c r="E135" s="518" t="s">
        <v>747</v>
      </c>
      <c r="F135" s="540"/>
      <c r="G135" s="540"/>
      <c r="H135" s="540"/>
      <c r="I135" s="540">
        <v>11936.605833333335</v>
      </c>
      <c r="J135" s="540">
        <v>5394.451</v>
      </c>
      <c r="K135" s="540">
        <v>9723.812750000001</v>
      </c>
      <c r="L135" s="541">
        <v>0</v>
      </c>
      <c r="M135" s="541" t="s">
        <v>1476</v>
      </c>
      <c r="N135" s="541">
        <v>0</v>
      </c>
      <c r="O135" s="541">
        <v>0</v>
      </c>
      <c r="P135" s="541">
        <v>0</v>
      </c>
      <c r="Q135" s="541">
        <v>0</v>
      </c>
      <c r="R135" s="541">
        <v>0</v>
      </c>
      <c r="S135" s="542" t="s">
        <v>1476</v>
      </c>
      <c r="T135" s="541">
        <v>95158.75</v>
      </c>
      <c r="U135" s="541">
        <v>95158.75</v>
      </c>
      <c r="V135" s="541">
        <v>95158.75</v>
      </c>
      <c r="W135" s="541">
        <v>95158.75</v>
      </c>
      <c r="X135" s="543" t="s">
        <v>1476</v>
      </c>
      <c r="Y135" s="541">
        <v>0</v>
      </c>
      <c r="Z135" s="541">
        <v>20899</v>
      </c>
      <c r="AA135" s="541">
        <v>0</v>
      </c>
      <c r="AB135" s="541">
        <v>0</v>
      </c>
      <c r="AC135" s="541">
        <v>0</v>
      </c>
      <c r="AD135" s="541">
        <v>0</v>
      </c>
      <c r="AE135" s="541">
        <v>109242.34</v>
      </c>
      <c r="AF135" s="541">
        <v>0</v>
      </c>
      <c r="AG135" s="541">
        <v>0</v>
      </c>
      <c r="AH135" s="541">
        <v>32494</v>
      </c>
      <c r="AI135" s="541">
        <v>6112</v>
      </c>
      <c r="AJ135" s="541">
        <v>2163</v>
      </c>
      <c r="AK135" s="541">
        <v>0</v>
      </c>
      <c r="AL135" s="541">
        <v>0</v>
      </c>
      <c r="AM135" s="541">
        <v>0</v>
      </c>
      <c r="AN135" s="541">
        <v>0</v>
      </c>
      <c r="AO135" s="541">
        <v>0</v>
      </c>
      <c r="AP135" s="541">
        <v>0</v>
      </c>
      <c r="AQ135" s="541">
        <v>0</v>
      </c>
      <c r="AR135" s="541">
        <v>0</v>
      </c>
      <c r="AS135" s="541">
        <v>0</v>
      </c>
      <c r="AT135" s="543">
        <v>17960</v>
      </c>
      <c r="AU135" s="541">
        <v>0</v>
      </c>
      <c r="AV135" s="541">
        <v>9331.875</v>
      </c>
      <c r="AW135" s="541">
        <v>0</v>
      </c>
      <c r="AX135" s="541">
        <v>20517.5</v>
      </c>
      <c r="AY135" s="541">
        <v>9331.875</v>
      </c>
      <c r="AZ135" s="541">
        <v>0</v>
      </c>
      <c r="BA135" s="541">
        <v>0</v>
      </c>
      <c r="BB135" s="541">
        <v>0</v>
      </c>
      <c r="BC135" s="544">
        <v>635741.45958333334</v>
      </c>
      <c r="BD135" s="544">
        <v>635741.45958333334</v>
      </c>
      <c r="BE135" s="511"/>
      <c r="BF135" s="565">
        <v>499444.25</v>
      </c>
      <c r="BG135" s="565">
        <v>27054.869583333337</v>
      </c>
      <c r="BH135" s="565">
        <v>109242.34</v>
      </c>
      <c r="BI135" s="565">
        <v>0</v>
      </c>
      <c r="BJ135" s="565">
        <v>635741.45958333334</v>
      </c>
      <c r="BK135" s="565">
        <v>0</v>
      </c>
      <c r="BL135" s="511"/>
      <c r="BM135" s="565">
        <v>380635</v>
      </c>
      <c r="BN135" s="565">
        <v>0</v>
      </c>
    </row>
    <row r="136" spans="1:66" s="403" customFormat="1" ht="13.2" x14ac:dyDescent="0.25">
      <c r="A136" s="547" t="s">
        <v>618</v>
      </c>
      <c r="B136" s="548">
        <v>3325</v>
      </c>
      <c r="C136" s="548" t="s">
        <v>365</v>
      </c>
      <c r="D136" s="548" t="s">
        <v>36</v>
      </c>
      <c r="E136" s="549" t="s">
        <v>748</v>
      </c>
      <c r="F136" s="550"/>
      <c r="G136" s="550"/>
      <c r="H136" s="550"/>
      <c r="I136" s="550">
        <v>32984.095000000001</v>
      </c>
      <c r="J136" s="550">
        <v>0</v>
      </c>
      <c r="K136" s="550">
        <v>0</v>
      </c>
      <c r="L136" s="541">
        <v>0</v>
      </c>
      <c r="M136" s="541" t="s">
        <v>1476</v>
      </c>
      <c r="N136" s="541">
        <v>0</v>
      </c>
      <c r="O136" s="541">
        <v>0</v>
      </c>
      <c r="P136" s="541">
        <v>0</v>
      </c>
      <c r="Q136" s="541">
        <v>0</v>
      </c>
      <c r="R136" s="541">
        <v>0</v>
      </c>
      <c r="S136" s="542" t="s">
        <v>1476</v>
      </c>
      <c r="T136" s="541">
        <v>49092.5</v>
      </c>
      <c r="U136" s="541">
        <v>32728.333333333328</v>
      </c>
      <c r="V136" s="541">
        <v>0</v>
      </c>
      <c r="W136" s="541" t="s">
        <v>1476</v>
      </c>
      <c r="X136" s="543" t="s">
        <v>1476</v>
      </c>
      <c r="Y136" s="541">
        <v>0</v>
      </c>
      <c r="Z136" s="541">
        <v>8121</v>
      </c>
      <c r="AA136" s="541">
        <v>0</v>
      </c>
      <c r="AB136" s="541">
        <v>0</v>
      </c>
      <c r="AC136" s="541">
        <v>0</v>
      </c>
      <c r="AD136" s="541">
        <v>0</v>
      </c>
      <c r="AE136" s="541">
        <v>0</v>
      </c>
      <c r="AF136" s="541">
        <v>0</v>
      </c>
      <c r="AG136" s="541">
        <v>0</v>
      </c>
      <c r="AH136" s="541">
        <v>44424</v>
      </c>
      <c r="AI136" s="541">
        <v>2159</v>
      </c>
      <c r="AJ136" s="541">
        <v>764</v>
      </c>
      <c r="AK136" s="541">
        <v>0</v>
      </c>
      <c r="AL136" s="541">
        <v>0</v>
      </c>
      <c r="AM136" s="541">
        <v>0</v>
      </c>
      <c r="AN136" s="541">
        <v>0</v>
      </c>
      <c r="AO136" s="541">
        <v>0</v>
      </c>
      <c r="AP136" s="541">
        <v>0</v>
      </c>
      <c r="AQ136" s="541">
        <v>0</v>
      </c>
      <c r="AR136" s="541">
        <v>0</v>
      </c>
      <c r="AS136" s="541">
        <v>0</v>
      </c>
      <c r="AT136" s="543">
        <v>13100</v>
      </c>
      <c r="AU136" s="541">
        <v>0</v>
      </c>
      <c r="AV136" s="541">
        <v>0</v>
      </c>
      <c r="AW136" s="541">
        <v>0</v>
      </c>
      <c r="AX136" s="541">
        <v>0</v>
      </c>
      <c r="AY136" s="541">
        <v>0</v>
      </c>
      <c r="AZ136" s="541">
        <v>0</v>
      </c>
      <c r="BA136" s="541">
        <v>0</v>
      </c>
      <c r="BB136" s="541">
        <v>0</v>
      </c>
      <c r="BC136" s="544">
        <v>183372.92833333334</v>
      </c>
      <c r="BD136" s="544">
        <v>183372.92833333334</v>
      </c>
      <c r="BE136" s="547"/>
      <c r="BF136" s="565">
        <v>150388.83333333331</v>
      </c>
      <c r="BG136" s="565">
        <v>32984.095000000001</v>
      </c>
      <c r="BH136" s="565">
        <v>0</v>
      </c>
      <c r="BI136" s="565">
        <v>0</v>
      </c>
      <c r="BJ136" s="565">
        <v>183372.92833333332</v>
      </c>
      <c r="BK136" s="512">
        <v>0</v>
      </c>
      <c r="BL136" s="514"/>
      <c r="BM136" s="512">
        <v>81820.833333333328</v>
      </c>
      <c r="BN136" s="512">
        <v>0</v>
      </c>
    </row>
    <row r="137" spans="1:66" ht="13.2" x14ac:dyDescent="0.25">
      <c r="A137" s="515" t="s">
        <v>618</v>
      </c>
      <c r="B137" s="517">
        <v>2169</v>
      </c>
      <c r="C137" s="517" t="s">
        <v>367</v>
      </c>
      <c r="D137" s="517" t="s">
        <v>36</v>
      </c>
      <c r="E137" s="518" t="s">
        <v>749</v>
      </c>
      <c r="F137" s="540"/>
      <c r="G137" s="540"/>
      <c r="H137" s="540"/>
      <c r="I137" s="540">
        <v>4591.1483333333335</v>
      </c>
      <c r="J137" s="540">
        <v>8455.9186666666665</v>
      </c>
      <c r="K137" s="540">
        <v>10166.939</v>
      </c>
      <c r="L137" s="541">
        <v>0</v>
      </c>
      <c r="M137" s="541" t="s">
        <v>1476</v>
      </c>
      <c r="N137" s="541">
        <v>0</v>
      </c>
      <c r="O137" s="541">
        <v>0</v>
      </c>
      <c r="P137" s="541">
        <v>0</v>
      </c>
      <c r="Q137" s="541">
        <v>0</v>
      </c>
      <c r="R137" s="541">
        <v>0</v>
      </c>
      <c r="S137" s="542" t="s">
        <v>1476</v>
      </c>
      <c r="T137" s="541">
        <v>80700</v>
      </c>
      <c r="U137" s="541">
        <v>80700</v>
      </c>
      <c r="V137" s="541">
        <v>80700</v>
      </c>
      <c r="W137" s="541">
        <v>80700</v>
      </c>
      <c r="X137" s="543" t="s">
        <v>1476</v>
      </c>
      <c r="Y137" s="541">
        <v>0</v>
      </c>
      <c r="Z137" s="541">
        <v>19451</v>
      </c>
      <c r="AA137" s="541">
        <v>0</v>
      </c>
      <c r="AB137" s="541">
        <v>0</v>
      </c>
      <c r="AC137" s="541">
        <v>0</v>
      </c>
      <c r="AD137" s="541">
        <v>0</v>
      </c>
      <c r="AE137" s="541">
        <v>0</v>
      </c>
      <c r="AF137" s="541">
        <v>0</v>
      </c>
      <c r="AG137" s="541">
        <v>0</v>
      </c>
      <c r="AH137" s="541">
        <v>17080</v>
      </c>
      <c r="AI137" s="541">
        <v>4517</v>
      </c>
      <c r="AJ137" s="541">
        <v>1599</v>
      </c>
      <c r="AK137" s="541">
        <v>0</v>
      </c>
      <c r="AL137" s="541">
        <v>0</v>
      </c>
      <c r="AM137" s="541">
        <v>0</v>
      </c>
      <c r="AN137" s="541">
        <v>0</v>
      </c>
      <c r="AO137" s="541">
        <v>0</v>
      </c>
      <c r="AP137" s="541">
        <v>381.5</v>
      </c>
      <c r="AQ137" s="541">
        <v>0</v>
      </c>
      <c r="AR137" s="541">
        <v>1200</v>
      </c>
      <c r="AS137" s="541">
        <v>0</v>
      </c>
      <c r="AT137" s="543">
        <v>12860</v>
      </c>
      <c r="AU137" s="541">
        <v>0</v>
      </c>
      <c r="AV137" s="541">
        <v>7737.1875000000009</v>
      </c>
      <c r="AW137" s="541">
        <v>0</v>
      </c>
      <c r="AX137" s="541">
        <v>17400</v>
      </c>
      <c r="AY137" s="541">
        <v>7737.1875000000009</v>
      </c>
      <c r="AZ137" s="541">
        <v>0</v>
      </c>
      <c r="BA137" s="541">
        <v>0</v>
      </c>
      <c r="BB137" s="541">
        <v>0</v>
      </c>
      <c r="BC137" s="544">
        <v>435976.88099999999</v>
      </c>
      <c r="BD137" s="544">
        <v>435976.88099999999</v>
      </c>
      <c r="BE137" s="511"/>
      <c r="BF137" s="565">
        <v>412762.875</v>
      </c>
      <c r="BG137" s="565">
        <v>23214.006000000001</v>
      </c>
      <c r="BH137" s="565">
        <v>0</v>
      </c>
      <c r="BI137" s="565">
        <v>0</v>
      </c>
      <c r="BJ137" s="565">
        <v>435976.88099999999</v>
      </c>
      <c r="BK137" s="565">
        <v>0</v>
      </c>
      <c r="BL137" s="511"/>
      <c r="BM137" s="565">
        <v>322800</v>
      </c>
      <c r="BN137" s="565">
        <v>0</v>
      </c>
    </row>
    <row r="138" spans="1:66" ht="13.2" x14ac:dyDescent="0.25">
      <c r="A138" s="515" t="s">
        <v>614</v>
      </c>
      <c r="B138" s="517">
        <v>2008</v>
      </c>
      <c r="C138" s="517" t="s">
        <v>369</v>
      </c>
      <c r="D138" s="517" t="s">
        <v>36</v>
      </c>
      <c r="E138" s="518" t="s">
        <v>750</v>
      </c>
      <c r="F138" s="540"/>
      <c r="G138" s="540"/>
      <c r="H138" s="540"/>
      <c r="I138" s="540">
        <v>2500</v>
      </c>
      <c r="J138" s="540">
        <v>3500</v>
      </c>
      <c r="K138" s="540">
        <v>0</v>
      </c>
      <c r="L138" s="541">
        <v>15000</v>
      </c>
      <c r="M138" s="541" t="s">
        <v>1476</v>
      </c>
      <c r="N138" s="541">
        <v>0</v>
      </c>
      <c r="O138" s="541">
        <v>0</v>
      </c>
      <c r="P138" s="541">
        <v>0</v>
      </c>
      <c r="Q138" s="541">
        <v>0</v>
      </c>
      <c r="R138" s="541">
        <v>0</v>
      </c>
      <c r="S138" s="542" t="s">
        <v>1476</v>
      </c>
      <c r="T138" s="541">
        <v>53463.75</v>
      </c>
      <c r="U138" s="541">
        <v>53463.75</v>
      </c>
      <c r="V138" s="541">
        <v>53463.75</v>
      </c>
      <c r="W138" s="541">
        <v>53463.75</v>
      </c>
      <c r="X138" s="543" t="s">
        <v>1476</v>
      </c>
      <c r="Y138" s="541">
        <v>0</v>
      </c>
      <c r="Z138" s="541">
        <v>19582</v>
      </c>
      <c r="AA138" s="541">
        <v>0</v>
      </c>
      <c r="AB138" s="541">
        <v>0</v>
      </c>
      <c r="AC138" s="541">
        <v>0</v>
      </c>
      <c r="AD138" s="541">
        <v>0</v>
      </c>
      <c r="AE138" s="541">
        <v>0</v>
      </c>
      <c r="AF138" s="541">
        <v>0</v>
      </c>
      <c r="AG138" s="541">
        <v>0</v>
      </c>
      <c r="AH138" s="541">
        <v>39810</v>
      </c>
      <c r="AI138" s="541">
        <v>7440</v>
      </c>
      <c r="AJ138" s="541">
        <v>2633</v>
      </c>
      <c r="AK138" s="541">
        <v>0</v>
      </c>
      <c r="AL138" s="541">
        <v>0</v>
      </c>
      <c r="AM138" s="541">
        <v>0</v>
      </c>
      <c r="AN138" s="541">
        <v>0</v>
      </c>
      <c r="AO138" s="541">
        <v>0</v>
      </c>
      <c r="AP138" s="541">
        <v>0</v>
      </c>
      <c r="AQ138" s="541">
        <v>0</v>
      </c>
      <c r="AR138" s="541">
        <v>1200</v>
      </c>
      <c r="AS138" s="541">
        <v>0</v>
      </c>
      <c r="AT138" s="543">
        <v>13960</v>
      </c>
      <c r="AU138" s="541">
        <v>0</v>
      </c>
      <c r="AV138" s="541">
        <v>4961.25</v>
      </c>
      <c r="AW138" s="541">
        <v>0</v>
      </c>
      <c r="AX138" s="541">
        <v>11527.5</v>
      </c>
      <c r="AY138" s="541">
        <v>4961.25</v>
      </c>
      <c r="AZ138" s="541">
        <v>0</v>
      </c>
      <c r="BA138" s="541">
        <v>0</v>
      </c>
      <c r="BB138" s="541">
        <v>0</v>
      </c>
      <c r="BC138" s="544">
        <v>340930</v>
      </c>
      <c r="BD138" s="544">
        <v>340930</v>
      </c>
      <c r="BE138" s="511"/>
      <c r="BF138" s="565">
        <v>319930</v>
      </c>
      <c r="BG138" s="565">
        <v>21000</v>
      </c>
      <c r="BH138" s="565">
        <v>0</v>
      </c>
      <c r="BI138" s="565">
        <v>0</v>
      </c>
      <c r="BJ138" s="565">
        <v>340930</v>
      </c>
      <c r="BK138" s="565">
        <v>0</v>
      </c>
      <c r="BL138" s="511"/>
      <c r="BM138" s="565">
        <v>213855</v>
      </c>
      <c r="BN138" s="565">
        <v>0</v>
      </c>
    </row>
    <row r="139" spans="1:66" ht="13.2" x14ac:dyDescent="0.25">
      <c r="A139" s="515" t="s">
        <v>616</v>
      </c>
      <c r="B139" s="517">
        <v>2174</v>
      </c>
      <c r="C139" s="517" t="s">
        <v>373</v>
      </c>
      <c r="D139" s="517" t="s">
        <v>107</v>
      </c>
      <c r="E139" s="518" t="s">
        <v>751</v>
      </c>
      <c r="F139" s="540"/>
      <c r="G139" s="540"/>
      <c r="H139" s="540"/>
      <c r="I139" s="540">
        <v>7695.4166666666661</v>
      </c>
      <c r="J139" s="540">
        <v>1086.6666666666667</v>
      </c>
      <c r="K139" s="540">
        <v>5600</v>
      </c>
      <c r="L139" s="541">
        <v>2402.3333333333335</v>
      </c>
      <c r="M139" s="541" t="s">
        <v>1476</v>
      </c>
      <c r="N139" s="541">
        <v>0</v>
      </c>
      <c r="O139" s="541">
        <v>0</v>
      </c>
      <c r="P139" s="541">
        <v>0</v>
      </c>
      <c r="Q139" s="541">
        <v>0</v>
      </c>
      <c r="R139" s="541">
        <v>0</v>
      </c>
      <c r="S139" s="542" t="s">
        <v>1476</v>
      </c>
      <c r="T139" s="541">
        <v>35978.75</v>
      </c>
      <c r="U139" s="541">
        <v>35978.75</v>
      </c>
      <c r="V139" s="541">
        <v>35978.75</v>
      </c>
      <c r="W139" s="541">
        <v>35978.75</v>
      </c>
      <c r="X139" s="543" t="s">
        <v>1476</v>
      </c>
      <c r="Y139" s="541">
        <v>0</v>
      </c>
      <c r="Z139" s="541">
        <v>18387</v>
      </c>
      <c r="AA139" s="541">
        <v>0</v>
      </c>
      <c r="AB139" s="541">
        <v>0</v>
      </c>
      <c r="AC139" s="541">
        <v>0</v>
      </c>
      <c r="AD139" s="541">
        <v>0</v>
      </c>
      <c r="AE139" s="541">
        <v>0</v>
      </c>
      <c r="AF139" s="541">
        <v>0</v>
      </c>
      <c r="AG139" s="541">
        <v>0</v>
      </c>
      <c r="AH139" s="541">
        <v>104629</v>
      </c>
      <c r="AI139" s="541">
        <v>0</v>
      </c>
      <c r="AJ139" s="541">
        <v>0</v>
      </c>
      <c r="AK139" s="541">
        <v>0</v>
      </c>
      <c r="AL139" s="541">
        <v>0</v>
      </c>
      <c r="AM139" s="541">
        <v>0</v>
      </c>
      <c r="AN139" s="541">
        <v>0</v>
      </c>
      <c r="AO139" s="541">
        <v>0</v>
      </c>
      <c r="AP139" s="541">
        <v>0</v>
      </c>
      <c r="AQ139" s="541">
        <v>0</v>
      </c>
      <c r="AR139" s="541">
        <v>1200</v>
      </c>
      <c r="AS139" s="541">
        <v>0</v>
      </c>
      <c r="AT139" s="543">
        <v>12000</v>
      </c>
      <c r="AU139" s="541">
        <v>0</v>
      </c>
      <c r="AV139" s="541">
        <v>15904.76</v>
      </c>
      <c r="AW139" s="541">
        <v>0</v>
      </c>
      <c r="AX139" s="541">
        <v>7757.5</v>
      </c>
      <c r="AY139" s="541">
        <v>3307.5</v>
      </c>
      <c r="AZ139" s="541">
        <v>0</v>
      </c>
      <c r="BA139" s="541">
        <v>0</v>
      </c>
      <c r="BB139" s="541">
        <v>0</v>
      </c>
      <c r="BC139" s="544">
        <v>323885.17666666664</v>
      </c>
      <c r="BD139" s="544">
        <v>323885.17666666664</v>
      </c>
      <c r="BE139" s="511"/>
      <c r="BF139" s="565">
        <v>307100.76</v>
      </c>
      <c r="BG139" s="565">
        <v>16784.416666666664</v>
      </c>
      <c r="BH139" s="565">
        <v>0</v>
      </c>
      <c r="BI139" s="565">
        <v>0</v>
      </c>
      <c r="BJ139" s="565">
        <v>323885.1766666667</v>
      </c>
      <c r="BK139" s="565">
        <v>0</v>
      </c>
      <c r="BL139" s="511"/>
      <c r="BM139" s="565">
        <v>143915</v>
      </c>
      <c r="BN139" s="565">
        <v>0</v>
      </c>
    </row>
    <row r="140" spans="1:66" ht="13.2" x14ac:dyDescent="0.25">
      <c r="A140" s="515" t="s">
        <v>614</v>
      </c>
      <c r="B140" s="517">
        <v>2176</v>
      </c>
      <c r="C140" s="517" t="s">
        <v>375</v>
      </c>
      <c r="D140" s="517" t="s">
        <v>36</v>
      </c>
      <c r="E140" s="518" t="s">
        <v>752</v>
      </c>
      <c r="F140" s="540"/>
      <c r="G140" s="540"/>
      <c r="H140" s="540"/>
      <c r="I140" s="540">
        <v>18209.470416666667</v>
      </c>
      <c r="J140" s="540">
        <v>13947.414000000001</v>
      </c>
      <c r="K140" s="540">
        <v>32586.426750000002</v>
      </c>
      <c r="L140" s="541">
        <v>4467.333333333333</v>
      </c>
      <c r="M140" s="541" t="s">
        <v>1476</v>
      </c>
      <c r="N140" s="541">
        <v>0</v>
      </c>
      <c r="O140" s="541">
        <v>0</v>
      </c>
      <c r="P140" s="541">
        <v>0</v>
      </c>
      <c r="Q140" s="541">
        <v>0</v>
      </c>
      <c r="R140" s="541">
        <v>0</v>
      </c>
      <c r="S140" s="542" t="s">
        <v>1476</v>
      </c>
      <c r="T140" s="541">
        <v>79355</v>
      </c>
      <c r="U140" s="541">
        <v>79355</v>
      </c>
      <c r="V140" s="541">
        <v>79355</v>
      </c>
      <c r="W140" s="541">
        <v>79355</v>
      </c>
      <c r="X140" s="543" t="s">
        <v>1476</v>
      </c>
      <c r="Y140" s="541">
        <v>0</v>
      </c>
      <c r="Z140" s="541">
        <v>21623</v>
      </c>
      <c r="AA140" s="541">
        <v>0</v>
      </c>
      <c r="AB140" s="541">
        <v>0</v>
      </c>
      <c r="AC140" s="541">
        <v>0</v>
      </c>
      <c r="AD140" s="541">
        <v>0</v>
      </c>
      <c r="AE140" s="541">
        <v>0</v>
      </c>
      <c r="AF140" s="541">
        <v>0</v>
      </c>
      <c r="AG140" s="541">
        <v>0</v>
      </c>
      <c r="AH140" s="541">
        <v>81159</v>
      </c>
      <c r="AI140" s="541">
        <v>12223</v>
      </c>
      <c r="AJ140" s="541">
        <v>4326</v>
      </c>
      <c r="AK140" s="541">
        <v>0</v>
      </c>
      <c r="AL140" s="541">
        <v>0</v>
      </c>
      <c r="AM140" s="541">
        <v>0</v>
      </c>
      <c r="AN140" s="541">
        <v>0</v>
      </c>
      <c r="AO140" s="541">
        <v>0</v>
      </c>
      <c r="AP140" s="541">
        <v>0</v>
      </c>
      <c r="AQ140" s="541">
        <v>0</v>
      </c>
      <c r="AR140" s="541">
        <v>1200</v>
      </c>
      <c r="AS140" s="541">
        <v>0</v>
      </c>
      <c r="AT140" s="543">
        <v>21630</v>
      </c>
      <c r="AU140" s="541">
        <v>0</v>
      </c>
      <c r="AV140" s="541">
        <v>8091.5625000000009</v>
      </c>
      <c r="AW140" s="541">
        <v>0</v>
      </c>
      <c r="AX140" s="541">
        <v>17110</v>
      </c>
      <c r="AY140" s="541">
        <v>8091.5625000000009</v>
      </c>
      <c r="AZ140" s="541">
        <v>0</v>
      </c>
      <c r="BA140" s="541">
        <v>0</v>
      </c>
      <c r="BB140" s="541">
        <v>0</v>
      </c>
      <c r="BC140" s="544">
        <v>562084.76949999994</v>
      </c>
      <c r="BD140" s="544">
        <v>562084.76949999994</v>
      </c>
      <c r="BE140" s="511"/>
      <c r="BF140" s="565">
        <v>492874.125</v>
      </c>
      <c r="BG140" s="565">
        <v>69210.644499999995</v>
      </c>
      <c r="BH140" s="565">
        <v>0</v>
      </c>
      <c r="BI140" s="565">
        <v>0</v>
      </c>
      <c r="BJ140" s="565">
        <v>562084.76949999994</v>
      </c>
      <c r="BK140" s="565">
        <v>0</v>
      </c>
      <c r="BL140" s="511"/>
      <c r="BM140" s="565">
        <v>317420</v>
      </c>
      <c r="BN140" s="565">
        <v>0</v>
      </c>
    </row>
    <row r="141" spans="1:66" ht="13.2" x14ac:dyDescent="0.25">
      <c r="A141" s="515" t="s">
        <v>618</v>
      </c>
      <c r="B141" s="517">
        <v>3381</v>
      </c>
      <c r="C141" s="517" t="s">
        <v>377</v>
      </c>
      <c r="D141" s="517" t="s">
        <v>36</v>
      </c>
      <c r="E141" s="518" t="s">
        <v>753</v>
      </c>
      <c r="F141" s="540"/>
      <c r="G141" s="540"/>
      <c r="H141" s="540"/>
      <c r="I141" s="540">
        <v>0</v>
      </c>
      <c r="J141" s="540">
        <v>0</v>
      </c>
      <c r="K141" s="540">
        <v>6000</v>
      </c>
      <c r="L141" s="541">
        <v>0</v>
      </c>
      <c r="M141" s="541" t="s">
        <v>1476</v>
      </c>
      <c r="N141" s="541">
        <v>0</v>
      </c>
      <c r="O141" s="541">
        <v>0</v>
      </c>
      <c r="P141" s="541">
        <v>0</v>
      </c>
      <c r="Q141" s="541">
        <v>0</v>
      </c>
      <c r="R141" s="541">
        <v>0</v>
      </c>
      <c r="S141" s="542" t="s">
        <v>1476</v>
      </c>
      <c r="T141" s="541">
        <v>20166.25</v>
      </c>
      <c r="U141" s="541">
        <v>20166.25</v>
      </c>
      <c r="V141" s="541">
        <v>20166.25</v>
      </c>
      <c r="W141" s="541">
        <v>20166.25</v>
      </c>
      <c r="X141" s="543" t="s">
        <v>1476</v>
      </c>
      <c r="Y141" s="541">
        <v>0</v>
      </c>
      <c r="Z141" s="541">
        <v>17752</v>
      </c>
      <c r="AA141" s="541">
        <v>0</v>
      </c>
      <c r="AB141" s="541">
        <v>0</v>
      </c>
      <c r="AC141" s="541">
        <v>0</v>
      </c>
      <c r="AD141" s="541">
        <v>0</v>
      </c>
      <c r="AE141" s="541">
        <v>0</v>
      </c>
      <c r="AF141" s="541">
        <v>0</v>
      </c>
      <c r="AG141" s="541">
        <v>0</v>
      </c>
      <c r="AH141" s="541">
        <v>29177</v>
      </c>
      <c r="AI141" s="541">
        <v>0</v>
      </c>
      <c r="AJ141" s="541">
        <v>0</v>
      </c>
      <c r="AK141" s="541">
        <v>0</v>
      </c>
      <c r="AL141" s="541">
        <v>0</v>
      </c>
      <c r="AM141" s="541">
        <v>0</v>
      </c>
      <c r="AN141" s="541">
        <v>0</v>
      </c>
      <c r="AO141" s="541">
        <v>0</v>
      </c>
      <c r="AP141" s="541">
        <v>0</v>
      </c>
      <c r="AQ141" s="541">
        <v>0</v>
      </c>
      <c r="AR141" s="541">
        <v>0</v>
      </c>
      <c r="AS141" s="541">
        <v>0</v>
      </c>
      <c r="AT141" s="543">
        <v>6800</v>
      </c>
      <c r="AU141" s="541">
        <v>0</v>
      </c>
      <c r="AV141" s="541">
        <v>1830.9375000000002</v>
      </c>
      <c r="AW141" s="541">
        <v>0</v>
      </c>
      <c r="AX141" s="541">
        <v>4277.5</v>
      </c>
      <c r="AY141" s="541">
        <v>1830.9375000000002</v>
      </c>
      <c r="AZ141" s="541">
        <v>0</v>
      </c>
      <c r="BA141" s="541">
        <v>0</v>
      </c>
      <c r="BB141" s="541">
        <v>0</v>
      </c>
      <c r="BC141" s="544">
        <v>148333.375</v>
      </c>
      <c r="BD141" s="544">
        <v>148333.375</v>
      </c>
      <c r="BE141" s="511"/>
      <c r="BF141" s="565">
        <v>142333.375</v>
      </c>
      <c r="BG141" s="565">
        <v>6000</v>
      </c>
      <c r="BH141" s="565">
        <v>0</v>
      </c>
      <c r="BI141" s="565">
        <v>0</v>
      </c>
      <c r="BJ141" s="565">
        <v>148333.375</v>
      </c>
      <c r="BK141" s="565">
        <v>0</v>
      </c>
      <c r="BL141" s="511"/>
      <c r="BM141" s="565">
        <v>80665</v>
      </c>
      <c r="BN141" s="565">
        <v>0</v>
      </c>
    </row>
    <row r="142" spans="1:66" ht="13.2" x14ac:dyDescent="0.25">
      <c r="A142" s="515" t="s">
        <v>614</v>
      </c>
      <c r="B142" s="517">
        <v>3380</v>
      </c>
      <c r="C142" s="517" t="s">
        <v>379</v>
      </c>
      <c r="D142" s="517" t="s">
        <v>36</v>
      </c>
      <c r="E142" s="518" t="s">
        <v>754</v>
      </c>
      <c r="F142" s="540"/>
      <c r="G142" s="540"/>
      <c r="H142" s="540"/>
      <c r="I142" s="540">
        <v>5857.5</v>
      </c>
      <c r="J142" s="540">
        <v>8501.6666666666661</v>
      </c>
      <c r="K142" s="540">
        <v>6376.2525000000005</v>
      </c>
      <c r="L142" s="541">
        <v>19534.82</v>
      </c>
      <c r="M142" s="541" t="s">
        <v>1476</v>
      </c>
      <c r="N142" s="541">
        <v>0</v>
      </c>
      <c r="O142" s="541">
        <v>0</v>
      </c>
      <c r="P142" s="541">
        <v>0</v>
      </c>
      <c r="Q142" s="541">
        <v>0</v>
      </c>
      <c r="R142" s="541">
        <v>0</v>
      </c>
      <c r="S142" s="542" t="s">
        <v>1476</v>
      </c>
      <c r="T142" s="541">
        <v>10423.75</v>
      </c>
      <c r="U142" s="541">
        <v>10423.75</v>
      </c>
      <c r="V142" s="541">
        <v>10423.75</v>
      </c>
      <c r="W142" s="541">
        <v>10423.75</v>
      </c>
      <c r="X142" s="543" t="s">
        <v>1476</v>
      </c>
      <c r="Y142" s="541">
        <v>0</v>
      </c>
      <c r="Z142" s="541">
        <v>17774</v>
      </c>
      <c r="AA142" s="541">
        <v>0</v>
      </c>
      <c r="AB142" s="541">
        <v>0</v>
      </c>
      <c r="AC142" s="541">
        <v>0</v>
      </c>
      <c r="AD142" s="541">
        <v>0</v>
      </c>
      <c r="AE142" s="541">
        <v>0</v>
      </c>
      <c r="AF142" s="541">
        <v>0</v>
      </c>
      <c r="AG142" s="541">
        <v>0</v>
      </c>
      <c r="AH142" s="541">
        <v>33846</v>
      </c>
      <c r="AI142" s="541">
        <v>0</v>
      </c>
      <c r="AJ142" s="541">
        <v>0</v>
      </c>
      <c r="AK142" s="541">
        <v>0</v>
      </c>
      <c r="AL142" s="541">
        <v>0</v>
      </c>
      <c r="AM142" s="541">
        <v>0</v>
      </c>
      <c r="AN142" s="541">
        <v>0</v>
      </c>
      <c r="AO142" s="541">
        <v>0</v>
      </c>
      <c r="AP142" s="541">
        <v>0</v>
      </c>
      <c r="AQ142" s="541">
        <v>0</v>
      </c>
      <c r="AR142" s="541">
        <v>0</v>
      </c>
      <c r="AS142" s="541">
        <v>0</v>
      </c>
      <c r="AT142" s="543">
        <v>6930</v>
      </c>
      <c r="AU142" s="541">
        <v>0</v>
      </c>
      <c r="AV142" s="541">
        <v>1122.1875</v>
      </c>
      <c r="AW142" s="541">
        <v>0</v>
      </c>
      <c r="AX142" s="541">
        <v>2247.5</v>
      </c>
      <c r="AY142" s="541">
        <v>1122.1875</v>
      </c>
      <c r="AZ142" s="541">
        <v>0</v>
      </c>
      <c r="BA142" s="541">
        <v>0</v>
      </c>
      <c r="BB142" s="541">
        <v>0</v>
      </c>
      <c r="BC142" s="544">
        <v>145007.11416666667</v>
      </c>
      <c r="BD142" s="544">
        <v>145007.11416666667</v>
      </c>
      <c r="BE142" s="511"/>
      <c r="BF142" s="565">
        <v>104736.875</v>
      </c>
      <c r="BG142" s="565">
        <v>40270.239166666666</v>
      </c>
      <c r="BH142" s="565">
        <v>0</v>
      </c>
      <c r="BI142" s="565">
        <v>0</v>
      </c>
      <c r="BJ142" s="565">
        <v>145007.11416666667</v>
      </c>
      <c r="BK142" s="565">
        <v>0</v>
      </c>
      <c r="BL142" s="511"/>
      <c r="BM142" s="565">
        <v>41695</v>
      </c>
      <c r="BN142" s="565">
        <v>0</v>
      </c>
    </row>
    <row r="143" spans="1:66" ht="13.2" x14ac:dyDescent="0.25">
      <c r="A143" s="515" t="s">
        <v>614</v>
      </c>
      <c r="B143" s="517">
        <v>3335</v>
      </c>
      <c r="C143" s="517" t="s">
        <v>381</v>
      </c>
      <c r="D143" s="517" t="s">
        <v>36</v>
      </c>
      <c r="E143" s="518" t="s">
        <v>755</v>
      </c>
      <c r="F143" s="540"/>
      <c r="G143" s="540"/>
      <c r="H143" s="540"/>
      <c r="I143" s="540">
        <v>2951.8583333333336</v>
      </c>
      <c r="J143" s="540">
        <v>0</v>
      </c>
      <c r="K143" s="540">
        <v>0</v>
      </c>
      <c r="L143" s="541">
        <v>0</v>
      </c>
      <c r="M143" s="541" t="s">
        <v>1476</v>
      </c>
      <c r="N143" s="541">
        <v>0</v>
      </c>
      <c r="O143" s="541">
        <v>0</v>
      </c>
      <c r="P143" s="541">
        <v>0</v>
      </c>
      <c r="Q143" s="541">
        <v>0</v>
      </c>
      <c r="R143" s="541">
        <v>0</v>
      </c>
      <c r="S143" s="542" t="s">
        <v>1476</v>
      </c>
      <c r="T143" s="541">
        <v>37996.25</v>
      </c>
      <c r="U143" s="541">
        <v>37996.25</v>
      </c>
      <c r="V143" s="541">
        <v>37996.25</v>
      </c>
      <c r="W143" s="541">
        <v>37996.25</v>
      </c>
      <c r="X143" s="543" t="s">
        <v>1476</v>
      </c>
      <c r="Y143" s="541">
        <v>0</v>
      </c>
      <c r="Z143" s="541">
        <v>17743</v>
      </c>
      <c r="AA143" s="541">
        <v>0</v>
      </c>
      <c r="AB143" s="541">
        <v>0</v>
      </c>
      <c r="AC143" s="541">
        <v>0</v>
      </c>
      <c r="AD143" s="541">
        <v>0</v>
      </c>
      <c r="AE143" s="541">
        <v>0</v>
      </c>
      <c r="AF143" s="541">
        <v>0</v>
      </c>
      <c r="AG143" s="541">
        <v>0</v>
      </c>
      <c r="AH143" s="541">
        <v>12153</v>
      </c>
      <c r="AI143" s="541">
        <v>0</v>
      </c>
      <c r="AJ143" s="541">
        <v>0</v>
      </c>
      <c r="AK143" s="541">
        <v>0</v>
      </c>
      <c r="AL143" s="541">
        <v>0</v>
      </c>
      <c r="AM143" s="541">
        <v>0</v>
      </c>
      <c r="AN143" s="541">
        <v>0</v>
      </c>
      <c r="AO143" s="541">
        <v>0</v>
      </c>
      <c r="AP143" s="541">
        <v>0</v>
      </c>
      <c r="AQ143" s="541">
        <v>0</v>
      </c>
      <c r="AR143" s="541">
        <v>0</v>
      </c>
      <c r="AS143" s="541">
        <v>0</v>
      </c>
      <c r="AT143" s="543">
        <v>6500</v>
      </c>
      <c r="AU143" s="541">
        <v>0</v>
      </c>
      <c r="AV143" s="541">
        <v>3661.8750000000005</v>
      </c>
      <c r="AW143" s="541">
        <v>0</v>
      </c>
      <c r="AX143" s="541">
        <v>8192.5</v>
      </c>
      <c r="AY143" s="541">
        <v>3661.8750000000005</v>
      </c>
      <c r="AZ143" s="541">
        <v>0</v>
      </c>
      <c r="BA143" s="541">
        <v>0</v>
      </c>
      <c r="BB143" s="541">
        <v>0</v>
      </c>
      <c r="BC143" s="544">
        <v>206849.10833333334</v>
      </c>
      <c r="BD143" s="544">
        <v>206849.10833333334</v>
      </c>
      <c r="BE143" s="511"/>
      <c r="BF143" s="565">
        <v>203897.25</v>
      </c>
      <c r="BG143" s="565">
        <v>2951.8583333333336</v>
      </c>
      <c r="BH143" s="565">
        <v>0</v>
      </c>
      <c r="BI143" s="565">
        <v>0</v>
      </c>
      <c r="BJ143" s="565">
        <v>206849.10833333334</v>
      </c>
      <c r="BK143" s="565">
        <v>0</v>
      </c>
      <c r="BL143" s="511"/>
      <c r="BM143" s="565">
        <v>151985</v>
      </c>
      <c r="BN143" s="565">
        <v>0</v>
      </c>
    </row>
    <row r="144" spans="1:66" ht="13.2" x14ac:dyDescent="0.25">
      <c r="A144" s="515" t="s">
        <v>618</v>
      </c>
      <c r="B144" s="517">
        <v>3329</v>
      </c>
      <c r="C144" s="517" t="s">
        <v>383</v>
      </c>
      <c r="D144" s="517" t="s">
        <v>36</v>
      </c>
      <c r="E144" s="518" t="s">
        <v>756</v>
      </c>
      <c r="F144" s="540"/>
      <c r="G144" s="540"/>
      <c r="H144" s="540"/>
      <c r="I144" s="540">
        <v>17862.388750000002</v>
      </c>
      <c r="J144" s="540">
        <v>7653.5160000000005</v>
      </c>
      <c r="K144" s="540">
        <v>5740.1370000000006</v>
      </c>
      <c r="L144" s="541">
        <v>0</v>
      </c>
      <c r="M144" s="541" t="s">
        <v>1476</v>
      </c>
      <c r="N144" s="541">
        <v>0</v>
      </c>
      <c r="O144" s="541">
        <v>0</v>
      </c>
      <c r="P144" s="541">
        <v>0</v>
      </c>
      <c r="Q144" s="541">
        <v>0</v>
      </c>
      <c r="R144" s="541">
        <v>0</v>
      </c>
      <c r="S144" s="542" t="s">
        <v>1476</v>
      </c>
      <c r="T144" s="541">
        <v>17390</v>
      </c>
      <c r="U144" s="541">
        <v>17390</v>
      </c>
      <c r="V144" s="541">
        <v>17390</v>
      </c>
      <c r="W144" s="541">
        <v>17390</v>
      </c>
      <c r="X144" s="543" t="s">
        <v>1476</v>
      </c>
      <c r="Y144" s="541">
        <v>0</v>
      </c>
      <c r="Z144" s="541">
        <v>17770</v>
      </c>
      <c r="AA144" s="541">
        <v>0</v>
      </c>
      <c r="AB144" s="541">
        <v>0</v>
      </c>
      <c r="AC144" s="541">
        <v>0</v>
      </c>
      <c r="AD144" s="541">
        <v>0</v>
      </c>
      <c r="AE144" s="541">
        <v>0</v>
      </c>
      <c r="AF144" s="541">
        <v>0</v>
      </c>
      <c r="AG144" s="541">
        <v>0</v>
      </c>
      <c r="AH144" s="541">
        <v>28603</v>
      </c>
      <c r="AI144" s="541">
        <v>4252</v>
      </c>
      <c r="AJ144" s="541">
        <v>1505</v>
      </c>
      <c r="AK144" s="541">
        <v>0</v>
      </c>
      <c r="AL144" s="541">
        <v>0</v>
      </c>
      <c r="AM144" s="541">
        <v>0</v>
      </c>
      <c r="AN144" s="541">
        <v>0</v>
      </c>
      <c r="AO144" s="541">
        <v>0</v>
      </c>
      <c r="AP144" s="541">
        <v>0</v>
      </c>
      <c r="AQ144" s="541">
        <v>0</v>
      </c>
      <c r="AR144" s="541">
        <v>0</v>
      </c>
      <c r="AS144" s="541">
        <v>0</v>
      </c>
      <c r="AT144" s="543">
        <v>6900</v>
      </c>
      <c r="AU144" s="541">
        <v>0</v>
      </c>
      <c r="AV144" s="541">
        <v>1712.8125</v>
      </c>
      <c r="AW144" s="541">
        <v>0</v>
      </c>
      <c r="AX144" s="541">
        <v>3625</v>
      </c>
      <c r="AY144" s="541">
        <v>1712.8125</v>
      </c>
      <c r="AZ144" s="541">
        <v>0</v>
      </c>
      <c r="BA144" s="541">
        <v>0</v>
      </c>
      <c r="BB144" s="541">
        <v>0</v>
      </c>
      <c r="BC144" s="544">
        <v>166896.66675</v>
      </c>
      <c r="BD144" s="544">
        <v>166896.66675</v>
      </c>
      <c r="BE144" s="511"/>
      <c r="BF144" s="565">
        <v>135640.625</v>
      </c>
      <c r="BG144" s="565">
        <v>31256.041750000004</v>
      </c>
      <c r="BH144" s="565">
        <v>0</v>
      </c>
      <c r="BI144" s="565">
        <v>0</v>
      </c>
      <c r="BJ144" s="565">
        <v>166896.66675</v>
      </c>
      <c r="BK144" s="565">
        <v>0</v>
      </c>
      <c r="BL144" s="511"/>
      <c r="BM144" s="565">
        <v>69560</v>
      </c>
      <c r="BN144" s="565">
        <v>0</v>
      </c>
    </row>
    <row r="145" spans="1:66" ht="13.2" x14ac:dyDescent="0.25">
      <c r="A145" s="515" t="s">
        <v>618</v>
      </c>
      <c r="B145" s="517">
        <v>2183</v>
      </c>
      <c r="C145" s="517" t="s">
        <v>385</v>
      </c>
      <c r="D145" s="517" t="s">
        <v>36</v>
      </c>
      <c r="E145" s="518" t="s">
        <v>757</v>
      </c>
      <c r="F145" s="540"/>
      <c r="G145" s="540"/>
      <c r="H145" s="540"/>
      <c r="I145" s="540">
        <v>4641.8341666666656</v>
      </c>
      <c r="J145" s="540">
        <v>3589.0539999999996</v>
      </c>
      <c r="K145" s="540">
        <v>21644.208749999998</v>
      </c>
      <c r="L145" s="541">
        <v>0</v>
      </c>
      <c r="M145" s="541" t="s">
        <v>1476</v>
      </c>
      <c r="N145" s="541">
        <v>0</v>
      </c>
      <c r="O145" s="541">
        <v>0</v>
      </c>
      <c r="P145" s="541">
        <v>0</v>
      </c>
      <c r="Q145" s="541">
        <v>0</v>
      </c>
      <c r="R145" s="541">
        <v>0</v>
      </c>
      <c r="S145" s="542" t="s">
        <v>1476</v>
      </c>
      <c r="T145" s="541">
        <v>50437.5</v>
      </c>
      <c r="U145" s="541">
        <v>50437.5</v>
      </c>
      <c r="V145" s="541">
        <v>50437.5</v>
      </c>
      <c r="W145" s="541">
        <v>50437.5</v>
      </c>
      <c r="X145" s="543" t="s">
        <v>1476</v>
      </c>
      <c r="Y145" s="541">
        <v>0</v>
      </c>
      <c r="Z145" s="541">
        <v>19139</v>
      </c>
      <c r="AA145" s="541">
        <v>0</v>
      </c>
      <c r="AB145" s="541">
        <v>0</v>
      </c>
      <c r="AC145" s="541">
        <v>0</v>
      </c>
      <c r="AD145" s="541">
        <v>0</v>
      </c>
      <c r="AE145" s="541">
        <v>72091.69</v>
      </c>
      <c r="AF145" s="541">
        <v>0</v>
      </c>
      <c r="AG145" s="541">
        <v>0</v>
      </c>
      <c r="AH145" s="541">
        <v>36568</v>
      </c>
      <c r="AI145" s="541">
        <v>5580</v>
      </c>
      <c r="AJ145" s="541">
        <v>1975</v>
      </c>
      <c r="AK145" s="541">
        <v>0</v>
      </c>
      <c r="AL145" s="541">
        <v>0</v>
      </c>
      <c r="AM145" s="541">
        <v>0</v>
      </c>
      <c r="AN145" s="541">
        <v>0</v>
      </c>
      <c r="AO145" s="541">
        <v>0</v>
      </c>
      <c r="AP145" s="541">
        <v>0</v>
      </c>
      <c r="AQ145" s="541">
        <v>0</v>
      </c>
      <c r="AR145" s="541">
        <v>1200</v>
      </c>
      <c r="AS145" s="541">
        <v>0</v>
      </c>
      <c r="AT145" s="543">
        <v>13330</v>
      </c>
      <c r="AU145" s="541">
        <v>0</v>
      </c>
      <c r="AV145" s="541">
        <v>4843.125</v>
      </c>
      <c r="AW145" s="541">
        <v>0</v>
      </c>
      <c r="AX145" s="541">
        <v>10875</v>
      </c>
      <c r="AY145" s="541">
        <v>4843.125</v>
      </c>
      <c r="AZ145" s="541">
        <v>0</v>
      </c>
      <c r="BA145" s="541">
        <v>0</v>
      </c>
      <c r="BB145" s="541">
        <v>0</v>
      </c>
      <c r="BC145" s="544">
        <v>402070.03691666666</v>
      </c>
      <c r="BD145" s="544">
        <v>402070.03691666666</v>
      </c>
      <c r="BE145" s="511"/>
      <c r="BF145" s="565">
        <v>300103.25</v>
      </c>
      <c r="BG145" s="565">
        <v>29875.096916666662</v>
      </c>
      <c r="BH145" s="565">
        <v>72091.69</v>
      </c>
      <c r="BI145" s="565">
        <v>0</v>
      </c>
      <c r="BJ145" s="565">
        <v>402070.03691666666</v>
      </c>
      <c r="BK145" s="565">
        <v>0</v>
      </c>
      <c r="BL145" s="511"/>
      <c r="BM145" s="565">
        <v>201750</v>
      </c>
      <c r="BN145" s="565">
        <v>0</v>
      </c>
    </row>
    <row r="146" spans="1:66" ht="13.2" x14ac:dyDescent="0.25">
      <c r="A146" s="515" t="s">
        <v>614</v>
      </c>
      <c r="B146" s="517">
        <v>3372</v>
      </c>
      <c r="C146" s="517" t="s">
        <v>387</v>
      </c>
      <c r="D146" s="517" t="s">
        <v>36</v>
      </c>
      <c r="E146" s="518" t="s">
        <v>758</v>
      </c>
      <c r="F146" s="540"/>
      <c r="G146" s="540"/>
      <c r="H146" s="540"/>
      <c r="I146" s="540">
        <v>15892</v>
      </c>
      <c r="J146" s="540">
        <v>18692.757666666668</v>
      </c>
      <c r="K146" s="540">
        <v>21124.279500000001</v>
      </c>
      <c r="L146" s="541">
        <v>3295.3333333333335</v>
      </c>
      <c r="M146" s="541" t="s">
        <v>1476</v>
      </c>
      <c r="N146" s="541">
        <v>0</v>
      </c>
      <c r="O146" s="541">
        <v>0</v>
      </c>
      <c r="P146" s="541">
        <v>0</v>
      </c>
      <c r="Q146" s="541">
        <v>0</v>
      </c>
      <c r="R146" s="541">
        <v>0</v>
      </c>
      <c r="S146" s="542" t="s">
        <v>1476</v>
      </c>
      <c r="T146" s="541">
        <v>92192.5</v>
      </c>
      <c r="U146" s="541">
        <v>92192.5</v>
      </c>
      <c r="V146" s="541">
        <v>91856.25</v>
      </c>
      <c r="W146" s="541">
        <v>91183.75</v>
      </c>
      <c r="X146" s="543" t="s">
        <v>1476</v>
      </c>
      <c r="Y146" s="541">
        <v>0</v>
      </c>
      <c r="Z146" s="541">
        <v>21327</v>
      </c>
      <c r="AA146" s="541">
        <v>0</v>
      </c>
      <c r="AB146" s="541">
        <v>0</v>
      </c>
      <c r="AC146" s="541">
        <v>0</v>
      </c>
      <c r="AD146" s="541">
        <v>0</v>
      </c>
      <c r="AE146" s="541">
        <v>0</v>
      </c>
      <c r="AF146" s="541">
        <v>0</v>
      </c>
      <c r="AG146" s="541">
        <v>0</v>
      </c>
      <c r="AH146" s="541">
        <v>41626</v>
      </c>
      <c r="AI146" s="541">
        <v>6909</v>
      </c>
      <c r="AJ146" s="541">
        <v>2445</v>
      </c>
      <c r="AK146" s="541">
        <v>0</v>
      </c>
      <c r="AL146" s="541">
        <v>0</v>
      </c>
      <c r="AM146" s="541">
        <v>0</v>
      </c>
      <c r="AN146" s="541">
        <v>0</v>
      </c>
      <c r="AO146" s="541">
        <v>0</v>
      </c>
      <c r="AP146" s="541">
        <v>1575</v>
      </c>
      <c r="AQ146" s="541">
        <v>0</v>
      </c>
      <c r="AR146" s="541">
        <v>1200</v>
      </c>
      <c r="AS146" s="541">
        <v>0</v>
      </c>
      <c r="AT146" s="543">
        <v>20260</v>
      </c>
      <c r="AU146" s="541">
        <v>0</v>
      </c>
      <c r="AV146" s="541">
        <v>8505</v>
      </c>
      <c r="AW146" s="541">
        <v>0</v>
      </c>
      <c r="AX146" s="541">
        <v>19212.5</v>
      </c>
      <c r="AY146" s="541">
        <v>8505</v>
      </c>
      <c r="AZ146" s="541">
        <v>0</v>
      </c>
      <c r="BA146" s="541">
        <v>0</v>
      </c>
      <c r="BB146" s="541">
        <v>0</v>
      </c>
      <c r="BC146" s="544">
        <v>557993.87049999996</v>
      </c>
      <c r="BD146" s="544">
        <v>557993.87049999996</v>
      </c>
      <c r="BE146" s="511"/>
      <c r="BF146" s="565">
        <v>498989.5</v>
      </c>
      <c r="BG146" s="565">
        <v>59004.370500000012</v>
      </c>
      <c r="BH146" s="565">
        <v>0</v>
      </c>
      <c r="BI146" s="565">
        <v>0</v>
      </c>
      <c r="BJ146" s="565">
        <v>557993.87049999996</v>
      </c>
      <c r="BK146" s="565">
        <v>0</v>
      </c>
      <c r="BL146" s="511"/>
      <c r="BM146" s="565">
        <v>367425</v>
      </c>
      <c r="BN146" s="565">
        <v>0</v>
      </c>
    </row>
    <row r="147" spans="1:66" ht="13.2" x14ac:dyDescent="0.25">
      <c r="A147" s="515" t="s">
        <v>618</v>
      </c>
      <c r="B147" s="517">
        <v>3375</v>
      </c>
      <c r="C147" s="517" t="s">
        <v>389</v>
      </c>
      <c r="D147" s="517" t="s">
        <v>36</v>
      </c>
      <c r="E147" s="518" t="s">
        <v>759</v>
      </c>
      <c r="F147" s="540"/>
      <c r="G147" s="540"/>
      <c r="H147" s="540"/>
      <c r="I147" s="540">
        <v>4006.666666666667</v>
      </c>
      <c r="J147" s="540">
        <v>8751.6666666666679</v>
      </c>
      <c r="K147" s="540">
        <v>8063.75</v>
      </c>
      <c r="L147" s="541">
        <v>0</v>
      </c>
      <c r="M147" s="541" t="s">
        <v>1476</v>
      </c>
      <c r="N147" s="541">
        <v>0</v>
      </c>
      <c r="O147" s="541">
        <v>0</v>
      </c>
      <c r="P147" s="541">
        <v>0</v>
      </c>
      <c r="Q147" s="541">
        <v>0</v>
      </c>
      <c r="R147" s="541">
        <v>0</v>
      </c>
      <c r="S147" s="542" t="s">
        <v>1476</v>
      </c>
      <c r="T147" s="541">
        <v>38332.5</v>
      </c>
      <c r="U147" s="541">
        <v>38332.5</v>
      </c>
      <c r="V147" s="541">
        <v>38332.5</v>
      </c>
      <c r="W147" s="541">
        <v>38332.5</v>
      </c>
      <c r="X147" s="543" t="s">
        <v>1476</v>
      </c>
      <c r="Y147" s="541">
        <v>0</v>
      </c>
      <c r="Z147" s="541">
        <v>19486</v>
      </c>
      <c r="AA147" s="541">
        <v>0</v>
      </c>
      <c r="AB147" s="541">
        <v>0</v>
      </c>
      <c r="AC147" s="541">
        <v>0</v>
      </c>
      <c r="AD147" s="541">
        <v>0</v>
      </c>
      <c r="AE147" s="541">
        <v>0</v>
      </c>
      <c r="AF147" s="541">
        <v>0</v>
      </c>
      <c r="AG147" s="541">
        <v>0</v>
      </c>
      <c r="AH147" s="541">
        <v>58521</v>
      </c>
      <c r="AI147" s="541">
        <v>0</v>
      </c>
      <c r="AJ147" s="541">
        <v>0</v>
      </c>
      <c r="AK147" s="541">
        <v>0</v>
      </c>
      <c r="AL147" s="541">
        <v>0</v>
      </c>
      <c r="AM147" s="541">
        <v>0</v>
      </c>
      <c r="AN147" s="541">
        <v>0</v>
      </c>
      <c r="AO147" s="541">
        <v>0</v>
      </c>
      <c r="AP147" s="541">
        <v>0</v>
      </c>
      <c r="AQ147" s="541">
        <v>0</v>
      </c>
      <c r="AR147" s="541">
        <v>0</v>
      </c>
      <c r="AS147" s="541">
        <v>0</v>
      </c>
      <c r="AT147" s="543">
        <v>13800</v>
      </c>
      <c r="AU147" s="541">
        <v>0</v>
      </c>
      <c r="AV147" s="541">
        <v>3780.0000000000005</v>
      </c>
      <c r="AW147" s="541">
        <v>0</v>
      </c>
      <c r="AX147" s="541">
        <v>8265</v>
      </c>
      <c r="AY147" s="541">
        <v>3780.0000000000005</v>
      </c>
      <c r="AZ147" s="541">
        <v>0</v>
      </c>
      <c r="BA147" s="541">
        <v>0</v>
      </c>
      <c r="BB147" s="541">
        <v>0</v>
      </c>
      <c r="BC147" s="544">
        <v>281784.08333333337</v>
      </c>
      <c r="BD147" s="544">
        <v>281784.08333333337</v>
      </c>
      <c r="BE147" s="511"/>
      <c r="BF147" s="565">
        <v>260962</v>
      </c>
      <c r="BG147" s="565">
        <v>20822.083333333336</v>
      </c>
      <c r="BH147" s="565">
        <v>0</v>
      </c>
      <c r="BI147" s="565">
        <v>0</v>
      </c>
      <c r="BJ147" s="565">
        <v>281784.08333333331</v>
      </c>
      <c r="BK147" s="565">
        <v>0</v>
      </c>
      <c r="BL147" s="511"/>
      <c r="BM147" s="565">
        <v>153330</v>
      </c>
      <c r="BN147" s="565">
        <v>0</v>
      </c>
    </row>
    <row r="148" spans="1:66" ht="13.2" x14ac:dyDescent="0.25">
      <c r="A148" s="515" t="s">
        <v>618</v>
      </c>
      <c r="B148" s="517">
        <v>3331</v>
      </c>
      <c r="C148" s="517" t="s">
        <v>391</v>
      </c>
      <c r="D148" s="517" t="s">
        <v>36</v>
      </c>
      <c r="E148" s="518" t="s">
        <v>760</v>
      </c>
      <c r="F148" s="540"/>
      <c r="G148" s="540"/>
      <c r="H148" s="540"/>
      <c r="I148" s="540">
        <v>6877.7554166666669</v>
      </c>
      <c r="J148" s="540">
        <v>6531.9889999999996</v>
      </c>
      <c r="K148" s="540">
        <v>5523.9917500000001</v>
      </c>
      <c r="L148" s="541">
        <v>0</v>
      </c>
      <c r="M148" s="541" t="s">
        <v>1476</v>
      </c>
      <c r="N148" s="541">
        <v>0</v>
      </c>
      <c r="O148" s="541">
        <v>0</v>
      </c>
      <c r="P148" s="541">
        <v>0</v>
      </c>
      <c r="Q148" s="541">
        <v>0</v>
      </c>
      <c r="R148" s="541">
        <v>0</v>
      </c>
      <c r="S148" s="542" t="s">
        <v>1476</v>
      </c>
      <c r="T148" s="541">
        <v>26900</v>
      </c>
      <c r="U148" s="541">
        <v>26900</v>
      </c>
      <c r="V148" s="541">
        <v>26900</v>
      </c>
      <c r="W148" s="541">
        <v>26900</v>
      </c>
      <c r="X148" s="543" t="s">
        <v>1476</v>
      </c>
      <c r="Y148" s="541">
        <v>0</v>
      </c>
      <c r="Z148" s="541">
        <v>17820</v>
      </c>
      <c r="AA148" s="541">
        <v>0</v>
      </c>
      <c r="AB148" s="541">
        <v>0</v>
      </c>
      <c r="AC148" s="541">
        <v>0</v>
      </c>
      <c r="AD148" s="541">
        <v>0</v>
      </c>
      <c r="AE148" s="541">
        <v>0</v>
      </c>
      <c r="AF148" s="541">
        <v>0</v>
      </c>
      <c r="AG148" s="541">
        <v>0</v>
      </c>
      <c r="AH148" s="541">
        <v>25546</v>
      </c>
      <c r="AI148" s="541">
        <v>3588</v>
      </c>
      <c r="AJ148" s="541">
        <v>1270</v>
      </c>
      <c r="AK148" s="541">
        <v>0</v>
      </c>
      <c r="AL148" s="541">
        <v>0</v>
      </c>
      <c r="AM148" s="541">
        <v>0</v>
      </c>
      <c r="AN148" s="541">
        <v>0</v>
      </c>
      <c r="AO148" s="541">
        <v>0</v>
      </c>
      <c r="AP148" s="541">
        <v>0</v>
      </c>
      <c r="AQ148" s="541">
        <v>0</v>
      </c>
      <c r="AR148" s="541">
        <v>0</v>
      </c>
      <c r="AS148" s="541">
        <v>0</v>
      </c>
      <c r="AT148" s="543">
        <v>6960</v>
      </c>
      <c r="AU148" s="541">
        <v>0</v>
      </c>
      <c r="AV148" s="541">
        <v>2657.8125</v>
      </c>
      <c r="AW148" s="541">
        <v>0</v>
      </c>
      <c r="AX148" s="541">
        <v>5800</v>
      </c>
      <c r="AY148" s="541">
        <v>2657.8125</v>
      </c>
      <c r="AZ148" s="541">
        <v>0</v>
      </c>
      <c r="BA148" s="541">
        <v>0</v>
      </c>
      <c r="BB148" s="541">
        <v>0</v>
      </c>
      <c r="BC148" s="544">
        <v>192833.36116666667</v>
      </c>
      <c r="BD148" s="544">
        <v>192833.36116666667</v>
      </c>
      <c r="BE148" s="511"/>
      <c r="BF148" s="565">
        <v>173899.625</v>
      </c>
      <c r="BG148" s="565">
        <v>18933.736166666666</v>
      </c>
      <c r="BH148" s="565">
        <v>0</v>
      </c>
      <c r="BI148" s="565">
        <v>0</v>
      </c>
      <c r="BJ148" s="565">
        <v>192833.36116666667</v>
      </c>
      <c r="BK148" s="565">
        <v>0</v>
      </c>
      <c r="BL148" s="511"/>
      <c r="BM148" s="565">
        <v>107600</v>
      </c>
      <c r="BN148" s="565">
        <v>0</v>
      </c>
    </row>
    <row r="149" spans="1:66" s="403" customFormat="1" ht="13.2" x14ac:dyDescent="0.25">
      <c r="A149" s="547" t="s">
        <v>618</v>
      </c>
      <c r="B149" s="548">
        <v>3337</v>
      </c>
      <c r="C149" s="548" t="s">
        <v>393</v>
      </c>
      <c r="D149" s="548" t="s">
        <v>36</v>
      </c>
      <c r="E149" s="549" t="s">
        <v>761</v>
      </c>
      <c r="F149" s="550"/>
      <c r="G149" s="550"/>
      <c r="H149" s="550"/>
      <c r="I149" s="550">
        <v>9782.9541666666664</v>
      </c>
      <c r="J149" s="550">
        <v>0</v>
      </c>
      <c r="K149" s="550">
        <v>0</v>
      </c>
      <c r="L149" s="541">
        <v>0</v>
      </c>
      <c r="M149" s="541" t="s">
        <v>1476</v>
      </c>
      <c r="N149" s="541">
        <v>0</v>
      </c>
      <c r="O149" s="541">
        <v>0</v>
      </c>
      <c r="P149" s="541">
        <v>0</v>
      </c>
      <c r="Q149" s="541">
        <v>0</v>
      </c>
      <c r="R149" s="541">
        <v>0</v>
      </c>
      <c r="S149" s="542" t="s">
        <v>1476</v>
      </c>
      <c r="T149" s="541">
        <v>40936.25</v>
      </c>
      <c r="U149" s="541">
        <v>27290.833333333328</v>
      </c>
      <c r="V149" s="541">
        <v>0</v>
      </c>
      <c r="W149" s="541" t="s">
        <v>1476</v>
      </c>
      <c r="X149" s="543" t="s">
        <v>1476</v>
      </c>
      <c r="Y149" s="541">
        <v>0</v>
      </c>
      <c r="Z149" s="541">
        <v>7421</v>
      </c>
      <c r="AA149" s="541">
        <v>0</v>
      </c>
      <c r="AB149" s="541">
        <v>0</v>
      </c>
      <c r="AC149" s="541">
        <v>0</v>
      </c>
      <c r="AD149" s="541">
        <v>0</v>
      </c>
      <c r="AE149" s="541">
        <v>0</v>
      </c>
      <c r="AF149" s="541">
        <v>0</v>
      </c>
      <c r="AG149" s="541">
        <v>0</v>
      </c>
      <c r="AH149" s="541">
        <v>13894</v>
      </c>
      <c r="AI149" s="541">
        <v>0</v>
      </c>
      <c r="AJ149" s="541">
        <v>0</v>
      </c>
      <c r="AK149" s="541">
        <v>0</v>
      </c>
      <c r="AL149" s="541">
        <v>0</v>
      </c>
      <c r="AM149" s="541">
        <v>0</v>
      </c>
      <c r="AN149" s="541">
        <v>0</v>
      </c>
      <c r="AO149" s="541">
        <v>0</v>
      </c>
      <c r="AP149" s="541">
        <v>1831.5</v>
      </c>
      <c r="AQ149" s="541">
        <v>0</v>
      </c>
      <c r="AR149" s="541">
        <v>0</v>
      </c>
      <c r="AS149" s="541">
        <v>0</v>
      </c>
      <c r="AT149" s="543">
        <v>6630</v>
      </c>
      <c r="AU149" s="541">
        <v>0</v>
      </c>
      <c r="AV149" s="541">
        <v>0</v>
      </c>
      <c r="AW149" s="541">
        <v>0</v>
      </c>
      <c r="AX149" s="541">
        <v>0</v>
      </c>
      <c r="AY149" s="541">
        <v>0</v>
      </c>
      <c r="AZ149" s="541">
        <v>0</v>
      </c>
      <c r="BA149" s="541">
        <v>0</v>
      </c>
      <c r="BB149" s="541">
        <v>0</v>
      </c>
      <c r="BC149" s="544">
        <v>107786.53749999999</v>
      </c>
      <c r="BD149" s="544">
        <v>107786.53749999999</v>
      </c>
      <c r="BE149" s="547"/>
      <c r="BF149" s="565">
        <v>98003.583333333328</v>
      </c>
      <c r="BG149" s="565">
        <v>9782.9541666666664</v>
      </c>
      <c r="BH149" s="565">
        <v>0</v>
      </c>
      <c r="BI149" s="565">
        <v>0</v>
      </c>
      <c r="BJ149" s="565">
        <v>107786.53749999999</v>
      </c>
      <c r="BK149" s="512">
        <v>0</v>
      </c>
      <c r="BL149" s="514"/>
      <c r="BM149" s="512">
        <v>68227.083333333328</v>
      </c>
      <c r="BN149" s="512">
        <v>0</v>
      </c>
    </row>
    <row r="150" spans="1:66" ht="13.2" x14ac:dyDescent="0.25">
      <c r="A150" s="515" t="s">
        <v>618</v>
      </c>
      <c r="B150" s="517">
        <v>3406</v>
      </c>
      <c r="C150" s="517" t="s">
        <v>395</v>
      </c>
      <c r="D150" s="517" t="s">
        <v>36</v>
      </c>
      <c r="E150" s="518" t="s">
        <v>762</v>
      </c>
      <c r="F150" s="540"/>
      <c r="G150" s="540"/>
      <c r="H150" s="540"/>
      <c r="I150" s="540">
        <v>5312.1458333333339</v>
      </c>
      <c r="J150" s="540">
        <v>13231.05</v>
      </c>
      <c r="K150" s="540">
        <v>6923.2874999999995</v>
      </c>
      <c r="L150" s="541">
        <v>3934.6666666666665</v>
      </c>
      <c r="M150" s="541" t="s">
        <v>1476</v>
      </c>
      <c r="N150" s="541">
        <v>0</v>
      </c>
      <c r="O150" s="541">
        <v>0</v>
      </c>
      <c r="P150" s="541">
        <v>0</v>
      </c>
      <c r="Q150" s="541">
        <v>0</v>
      </c>
      <c r="R150" s="541">
        <v>0</v>
      </c>
      <c r="S150" s="542" t="s">
        <v>1476</v>
      </c>
      <c r="T150" s="541">
        <v>48083.75</v>
      </c>
      <c r="U150" s="541">
        <v>48083.75</v>
      </c>
      <c r="V150" s="541">
        <v>49092.5</v>
      </c>
      <c r="W150" s="541">
        <v>51110</v>
      </c>
      <c r="X150" s="543" t="s">
        <v>1476</v>
      </c>
      <c r="Y150" s="541">
        <v>0</v>
      </c>
      <c r="Z150" s="541">
        <v>18689</v>
      </c>
      <c r="AA150" s="541">
        <v>0</v>
      </c>
      <c r="AB150" s="541">
        <v>0</v>
      </c>
      <c r="AC150" s="541">
        <v>0</v>
      </c>
      <c r="AD150" s="541">
        <v>0</v>
      </c>
      <c r="AE150" s="541">
        <v>0</v>
      </c>
      <c r="AF150" s="541">
        <v>0</v>
      </c>
      <c r="AG150" s="541">
        <v>0</v>
      </c>
      <c r="AH150" s="541">
        <v>12450</v>
      </c>
      <c r="AI150" s="541">
        <v>2657</v>
      </c>
      <c r="AJ150" s="541">
        <v>941</v>
      </c>
      <c r="AK150" s="541">
        <v>0</v>
      </c>
      <c r="AL150" s="541">
        <v>0</v>
      </c>
      <c r="AM150" s="541">
        <v>0</v>
      </c>
      <c r="AN150" s="541">
        <v>0</v>
      </c>
      <c r="AO150" s="541">
        <v>0</v>
      </c>
      <c r="AP150" s="541">
        <v>2865.5</v>
      </c>
      <c r="AQ150" s="541">
        <v>0</v>
      </c>
      <c r="AR150" s="541">
        <v>0</v>
      </c>
      <c r="AS150" s="541">
        <v>0</v>
      </c>
      <c r="AT150" s="543">
        <v>9330</v>
      </c>
      <c r="AU150" s="541">
        <v>0</v>
      </c>
      <c r="AV150" s="541">
        <v>4665.9375</v>
      </c>
      <c r="AW150" s="541">
        <v>0</v>
      </c>
      <c r="AX150" s="541">
        <v>10585</v>
      </c>
      <c r="AY150" s="541">
        <v>4902.1875</v>
      </c>
      <c r="AZ150" s="541">
        <v>0</v>
      </c>
      <c r="BA150" s="541">
        <v>0</v>
      </c>
      <c r="BB150" s="541">
        <v>0</v>
      </c>
      <c r="BC150" s="544">
        <v>292856.77500000002</v>
      </c>
      <c r="BD150" s="544">
        <v>292856.77500000002</v>
      </c>
      <c r="BE150" s="511"/>
      <c r="BF150" s="565">
        <v>263455.625</v>
      </c>
      <c r="BG150" s="565">
        <v>29401.149999999998</v>
      </c>
      <c r="BH150" s="565">
        <v>0</v>
      </c>
      <c r="BI150" s="565">
        <v>0</v>
      </c>
      <c r="BJ150" s="565">
        <v>292856.77500000002</v>
      </c>
      <c r="BK150" s="565">
        <v>0</v>
      </c>
      <c r="BL150" s="511"/>
      <c r="BM150" s="565">
        <v>196370</v>
      </c>
      <c r="BN150" s="565">
        <v>0</v>
      </c>
    </row>
    <row r="151" spans="1:66" ht="13.2" x14ac:dyDescent="0.25">
      <c r="A151" s="515" t="s">
        <v>618</v>
      </c>
      <c r="B151" s="517">
        <v>3386</v>
      </c>
      <c r="C151" s="517" t="s">
        <v>397</v>
      </c>
      <c r="D151" s="517" t="s">
        <v>36</v>
      </c>
      <c r="E151" s="518" t="s">
        <v>763</v>
      </c>
      <c r="F151" s="540"/>
      <c r="G151" s="540"/>
      <c r="H151" s="540"/>
      <c r="I151" s="540">
        <v>13275.155833333332</v>
      </c>
      <c r="J151" s="540">
        <v>17054</v>
      </c>
      <c r="K151" s="540">
        <v>22154</v>
      </c>
      <c r="L151" s="541">
        <v>0</v>
      </c>
      <c r="M151" s="541" t="s">
        <v>1476</v>
      </c>
      <c r="N151" s="541">
        <v>0</v>
      </c>
      <c r="O151" s="541">
        <v>0</v>
      </c>
      <c r="P151" s="541">
        <v>0</v>
      </c>
      <c r="Q151" s="541">
        <v>0</v>
      </c>
      <c r="R151" s="541">
        <v>0</v>
      </c>
      <c r="S151" s="542" t="s">
        <v>1476</v>
      </c>
      <c r="T151" s="541">
        <v>27908.75</v>
      </c>
      <c r="U151" s="541">
        <v>27908.75</v>
      </c>
      <c r="V151" s="541">
        <v>27908.75</v>
      </c>
      <c r="W151" s="541">
        <v>27908.75</v>
      </c>
      <c r="X151" s="543" t="s">
        <v>1476</v>
      </c>
      <c r="Y151" s="541">
        <v>0</v>
      </c>
      <c r="Z151" s="541">
        <v>17804</v>
      </c>
      <c r="AA151" s="541">
        <v>0</v>
      </c>
      <c r="AB151" s="541">
        <v>0</v>
      </c>
      <c r="AC151" s="541">
        <v>0</v>
      </c>
      <c r="AD151" s="541">
        <v>0</v>
      </c>
      <c r="AE151" s="541">
        <v>0</v>
      </c>
      <c r="AF151" s="541">
        <v>0</v>
      </c>
      <c r="AG151" s="541">
        <v>0</v>
      </c>
      <c r="AH151" s="541">
        <v>19322</v>
      </c>
      <c r="AI151" s="541">
        <v>4119</v>
      </c>
      <c r="AJ151" s="541">
        <v>1457</v>
      </c>
      <c r="AK151" s="541">
        <v>0</v>
      </c>
      <c r="AL151" s="541">
        <v>0</v>
      </c>
      <c r="AM151" s="541">
        <v>0</v>
      </c>
      <c r="AN151" s="541">
        <v>0</v>
      </c>
      <c r="AO151" s="541">
        <v>0</v>
      </c>
      <c r="AP151" s="541">
        <v>0</v>
      </c>
      <c r="AQ151" s="541">
        <v>0</v>
      </c>
      <c r="AR151" s="541">
        <v>0</v>
      </c>
      <c r="AS151" s="541">
        <v>0</v>
      </c>
      <c r="AT151" s="543">
        <v>7030</v>
      </c>
      <c r="AU151" s="541">
        <v>0</v>
      </c>
      <c r="AV151" s="541">
        <v>2598.75</v>
      </c>
      <c r="AW151" s="541">
        <v>0</v>
      </c>
      <c r="AX151" s="541">
        <v>6017.5</v>
      </c>
      <c r="AY151" s="541">
        <v>2598.75</v>
      </c>
      <c r="AZ151" s="541">
        <v>0</v>
      </c>
      <c r="BA151" s="541">
        <v>0</v>
      </c>
      <c r="BB151" s="541">
        <v>0</v>
      </c>
      <c r="BC151" s="544">
        <v>225065.15583333332</v>
      </c>
      <c r="BD151" s="544">
        <v>225065.15583333332</v>
      </c>
      <c r="BE151" s="511"/>
      <c r="BF151" s="565">
        <v>172582</v>
      </c>
      <c r="BG151" s="565">
        <v>52483.155833333331</v>
      </c>
      <c r="BH151" s="565">
        <v>0</v>
      </c>
      <c r="BI151" s="565">
        <v>0</v>
      </c>
      <c r="BJ151" s="565">
        <v>225065.15583333332</v>
      </c>
      <c r="BK151" s="565">
        <v>0</v>
      </c>
      <c r="BL151" s="511"/>
      <c r="BM151" s="565">
        <v>111635</v>
      </c>
      <c r="BN151" s="565">
        <v>0</v>
      </c>
    </row>
    <row r="152" spans="1:66" ht="13.2" x14ac:dyDescent="0.25">
      <c r="A152" s="515" t="s">
        <v>616</v>
      </c>
      <c r="B152" s="517">
        <v>3363</v>
      </c>
      <c r="C152" s="517" t="s">
        <v>399</v>
      </c>
      <c r="D152" s="517" t="s">
        <v>107</v>
      </c>
      <c r="E152" s="518" t="s">
        <v>764</v>
      </c>
      <c r="F152" s="540"/>
      <c r="G152" s="540"/>
      <c r="H152" s="540"/>
      <c r="I152" s="540">
        <v>4480</v>
      </c>
      <c r="J152" s="540">
        <v>8692.5783333333329</v>
      </c>
      <c r="K152" s="540">
        <v>4144.4362499999997</v>
      </c>
      <c r="L152" s="541">
        <v>0</v>
      </c>
      <c r="M152" s="541" t="s">
        <v>1476</v>
      </c>
      <c r="N152" s="541">
        <v>0</v>
      </c>
      <c r="O152" s="541">
        <v>0</v>
      </c>
      <c r="P152" s="541">
        <v>0</v>
      </c>
      <c r="Q152" s="541">
        <v>0</v>
      </c>
      <c r="R152" s="541">
        <v>0</v>
      </c>
      <c r="S152" s="542" t="s">
        <v>1476</v>
      </c>
      <c r="T152" s="541">
        <v>40841.25</v>
      </c>
      <c r="U152" s="541">
        <v>40841.25</v>
      </c>
      <c r="V152" s="541">
        <v>40841.25</v>
      </c>
      <c r="W152" s="541">
        <v>40841.25</v>
      </c>
      <c r="X152" s="543" t="s">
        <v>1476</v>
      </c>
      <c r="Y152" s="541">
        <v>0</v>
      </c>
      <c r="Z152" s="541">
        <v>19323</v>
      </c>
      <c r="AA152" s="541">
        <v>0</v>
      </c>
      <c r="AB152" s="541">
        <v>0</v>
      </c>
      <c r="AC152" s="541">
        <v>0</v>
      </c>
      <c r="AD152" s="541">
        <v>0</v>
      </c>
      <c r="AE152" s="541">
        <v>0</v>
      </c>
      <c r="AF152" s="541">
        <v>0</v>
      </c>
      <c r="AG152" s="541">
        <v>0</v>
      </c>
      <c r="AH152" s="541">
        <v>39218</v>
      </c>
      <c r="AI152" s="541">
        <v>3056</v>
      </c>
      <c r="AJ152" s="541">
        <v>1082</v>
      </c>
      <c r="AK152" s="541">
        <v>0</v>
      </c>
      <c r="AL152" s="541">
        <v>0</v>
      </c>
      <c r="AM152" s="541">
        <v>0</v>
      </c>
      <c r="AN152" s="541">
        <v>0</v>
      </c>
      <c r="AO152" s="541">
        <v>0</v>
      </c>
      <c r="AP152" s="541">
        <v>0</v>
      </c>
      <c r="AQ152" s="541">
        <v>0</v>
      </c>
      <c r="AR152" s="541">
        <v>0</v>
      </c>
      <c r="AS152" s="541">
        <v>0</v>
      </c>
      <c r="AT152" s="543">
        <v>12500</v>
      </c>
      <c r="AU152" s="541">
        <v>0</v>
      </c>
      <c r="AV152" s="541">
        <v>3898.1250000000005</v>
      </c>
      <c r="AW152" s="541">
        <v>0</v>
      </c>
      <c r="AX152" s="541">
        <v>8772.5</v>
      </c>
      <c r="AY152" s="541">
        <v>3898.1250000000005</v>
      </c>
      <c r="AZ152" s="541">
        <v>0</v>
      </c>
      <c r="BA152" s="541">
        <v>0</v>
      </c>
      <c r="BB152" s="541">
        <v>0</v>
      </c>
      <c r="BC152" s="544">
        <v>272429.76458333334</v>
      </c>
      <c r="BD152" s="544">
        <v>272429.76458333334</v>
      </c>
      <c r="BE152" s="511"/>
      <c r="BF152" s="565">
        <v>255112.75</v>
      </c>
      <c r="BG152" s="565">
        <v>17317.014583333334</v>
      </c>
      <c r="BH152" s="565">
        <v>0</v>
      </c>
      <c r="BI152" s="565">
        <v>0</v>
      </c>
      <c r="BJ152" s="565">
        <v>272429.76458333334</v>
      </c>
      <c r="BK152" s="565">
        <v>0</v>
      </c>
      <c r="BL152" s="511"/>
      <c r="BM152" s="565">
        <v>163365</v>
      </c>
      <c r="BN152" s="565">
        <v>0</v>
      </c>
    </row>
    <row r="153" spans="1:66" ht="13.2" x14ac:dyDescent="0.25">
      <c r="A153" s="515" t="s">
        <v>618</v>
      </c>
      <c r="B153" s="517">
        <v>3347</v>
      </c>
      <c r="C153" s="517" t="s">
        <v>401</v>
      </c>
      <c r="D153" s="517" t="s">
        <v>36</v>
      </c>
      <c r="E153" s="518" t="s">
        <v>765</v>
      </c>
      <c r="F153" s="540"/>
      <c r="G153" s="540"/>
      <c r="H153" s="540"/>
      <c r="I153" s="540">
        <v>6086.8008333333346</v>
      </c>
      <c r="J153" s="540">
        <v>4869.4406666666673</v>
      </c>
      <c r="K153" s="540">
        <v>11152.0805</v>
      </c>
      <c r="L153" s="541">
        <v>0</v>
      </c>
      <c r="M153" s="541" t="s">
        <v>1476</v>
      </c>
      <c r="N153" s="541">
        <v>0</v>
      </c>
      <c r="O153" s="541">
        <v>0</v>
      </c>
      <c r="P153" s="541">
        <v>0</v>
      </c>
      <c r="Q153" s="541">
        <v>0</v>
      </c>
      <c r="R153" s="541">
        <v>0</v>
      </c>
      <c r="S153" s="542" t="s">
        <v>1476</v>
      </c>
      <c r="T153" s="541">
        <v>47156.875</v>
      </c>
      <c r="U153" s="541">
        <v>47156.875</v>
      </c>
      <c r="V153" s="541">
        <v>47829.375</v>
      </c>
      <c r="W153" s="541">
        <v>49174.375</v>
      </c>
      <c r="X153" s="543" t="s">
        <v>1476</v>
      </c>
      <c r="Y153" s="541">
        <v>0</v>
      </c>
      <c r="Z153" s="541">
        <v>17711</v>
      </c>
      <c r="AA153" s="541">
        <v>0</v>
      </c>
      <c r="AB153" s="541">
        <v>0</v>
      </c>
      <c r="AC153" s="541">
        <v>0</v>
      </c>
      <c r="AD153" s="541">
        <v>0</v>
      </c>
      <c r="AE153" s="541">
        <v>0</v>
      </c>
      <c r="AF153" s="541">
        <v>0</v>
      </c>
      <c r="AG153" s="541">
        <v>0</v>
      </c>
      <c r="AH153" s="541">
        <v>9152</v>
      </c>
      <c r="AI153" s="541">
        <v>3189</v>
      </c>
      <c r="AJ153" s="541">
        <v>1128</v>
      </c>
      <c r="AK153" s="541">
        <v>0</v>
      </c>
      <c r="AL153" s="541">
        <v>0</v>
      </c>
      <c r="AM153" s="541">
        <v>0</v>
      </c>
      <c r="AN153" s="541">
        <v>0</v>
      </c>
      <c r="AO153" s="541">
        <v>0</v>
      </c>
      <c r="AP153" s="541">
        <v>0</v>
      </c>
      <c r="AQ153" s="541">
        <v>0</v>
      </c>
      <c r="AR153" s="541">
        <v>0</v>
      </c>
      <c r="AS153" s="541">
        <v>0</v>
      </c>
      <c r="AT153" s="543">
        <v>6380</v>
      </c>
      <c r="AU153" s="541">
        <v>0</v>
      </c>
      <c r="AV153" s="541">
        <v>4488.75</v>
      </c>
      <c r="AW153" s="541">
        <v>0</v>
      </c>
      <c r="AX153" s="541">
        <v>10259</v>
      </c>
      <c r="AY153" s="541">
        <v>4606.875</v>
      </c>
      <c r="AZ153" s="541">
        <v>0</v>
      </c>
      <c r="BA153" s="541">
        <v>0</v>
      </c>
      <c r="BB153" s="541">
        <v>0</v>
      </c>
      <c r="BC153" s="544">
        <v>270340.44699999999</v>
      </c>
      <c r="BD153" s="544">
        <v>270340.44699999999</v>
      </c>
      <c r="BE153" s="511"/>
      <c r="BF153" s="565">
        <v>248232.125</v>
      </c>
      <c r="BG153" s="565">
        <v>22108.322</v>
      </c>
      <c r="BH153" s="565">
        <v>0</v>
      </c>
      <c r="BI153" s="565">
        <v>0</v>
      </c>
      <c r="BJ153" s="565">
        <v>270340.44699999999</v>
      </c>
      <c r="BK153" s="565">
        <v>0</v>
      </c>
      <c r="BL153" s="511"/>
      <c r="BM153" s="565">
        <v>191317.5</v>
      </c>
      <c r="BN153" s="565">
        <v>0</v>
      </c>
    </row>
    <row r="154" spans="1:66" ht="13.2" x14ac:dyDescent="0.25">
      <c r="A154" s="515" t="s">
        <v>618</v>
      </c>
      <c r="B154" s="517">
        <v>3355</v>
      </c>
      <c r="C154" s="517" t="s">
        <v>403</v>
      </c>
      <c r="D154" s="517" t="s">
        <v>36</v>
      </c>
      <c r="E154" s="518" t="s">
        <v>766</v>
      </c>
      <c r="F154" s="540"/>
      <c r="G154" s="540"/>
      <c r="H154" s="540"/>
      <c r="I154" s="540">
        <v>12600.117916666666</v>
      </c>
      <c r="J154" s="540">
        <v>22115.760999999999</v>
      </c>
      <c r="K154" s="540">
        <v>17830.570749999999</v>
      </c>
      <c r="L154" s="541">
        <v>2228</v>
      </c>
      <c r="M154" s="541" t="s">
        <v>1476</v>
      </c>
      <c r="N154" s="541">
        <v>0</v>
      </c>
      <c r="O154" s="541">
        <v>0</v>
      </c>
      <c r="P154" s="541">
        <v>0</v>
      </c>
      <c r="Q154" s="541">
        <v>0</v>
      </c>
      <c r="R154" s="541">
        <v>0</v>
      </c>
      <c r="S154" s="542" t="s">
        <v>1476</v>
      </c>
      <c r="T154" s="541">
        <v>36392.5</v>
      </c>
      <c r="U154" s="541">
        <v>36392.5</v>
      </c>
      <c r="V154" s="541">
        <v>36392.5</v>
      </c>
      <c r="W154" s="541">
        <v>36392.5</v>
      </c>
      <c r="X154" s="543" t="s">
        <v>1476</v>
      </c>
      <c r="Y154" s="541">
        <v>0</v>
      </c>
      <c r="Z154" s="541">
        <v>19409</v>
      </c>
      <c r="AA154" s="541">
        <v>0</v>
      </c>
      <c r="AB154" s="541">
        <v>0</v>
      </c>
      <c r="AC154" s="541">
        <v>0</v>
      </c>
      <c r="AD154" s="541">
        <v>0</v>
      </c>
      <c r="AE154" s="541">
        <v>0</v>
      </c>
      <c r="AF154" s="541">
        <v>0</v>
      </c>
      <c r="AG154" s="541">
        <v>0</v>
      </c>
      <c r="AH154" s="541">
        <v>56428</v>
      </c>
      <c r="AI154" s="541">
        <v>0</v>
      </c>
      <c r="AJ154" s="541">
        <v>0</v>
      </c>
      <c r="AK154" s="541">
        <v>0</v>
      </c>
      <c r="AL154" s="541">
        <v>0</v>
      </c>
      <c r="AM154" s="541">
        <v>0</v>
      </c>
      <c r="AN154" s="541">
        <v>0</v>
      </c>
      <c r="AO154" s="541">
        <v>0</v>
      </c>
      <c r="AP154" s="541">
        <v>0</v>
      </c>
      <c r="AQ154" s="541">
        <v>0</v>
      </c>
      <c r="AR154" s="541">
        <v>0</v>
      </c>
      <c r="AS154" s="541">
        <v>0</v>
      </c>
      <c r="AT154" s="543">
        <v>13300</v>
      </c>
      <c r="AU154" s="541">
        <v>0</v>
      </c>
      <c r="AV154" s="541">
        <v>3602.8125000000005</v>
      </c>
      <c r="AW154" s="541">
        <v>0</v>
      </c>
      <c r="AX154" s="541">
        <v>7685</v>
      </c>
      <c r="AY154" s="541">
        <v>3602.8125000000005</v>
      </c>
      <c r="AZ154" s="541">
        <v>0</v>
      </c>
      <c r="BA154" s="541">
        <v>0</v>
      </c>
      <c r="BB154" s="541">
        <v>0</v>
      </c>
      <c r="BC154" s="544">
        <v>304372.07466666668</v>
      </c>
      <c r="BD154" s="544">
        <v>304372.07466666668</v>
      </c>
      <c r="BE154" s="511"/>
      <c r="BF154" s="565">
        <v>249597.625</v>
      </c>
      <c r="BG154" s="565">
        <v>54774.449666666667</v>
      </c>
      <c r="BH154" s="565">
        <v>0</v>
      </c>
      <c r="BI154" s="565">
        <v>0</v>
      </c>
      <c r="BJ154" s="565">
        <v>304372.07466666668</v>
      </c>
      <c r="BK154" s="565">
        <v>0</v>
      </c>
      <c r="BL154" s="511"/>
      <c r="BM154" s="565">
        <v>145570</v>
      </c>
      <c r="BN154" s="565">
        <v>0</v>
      </c>
    </row>
    <row r="155" spans="1:66" ht="13.2" x14ac:dyDescent="0.25">
      <c r="A155" s="515" t="s">
        <v>618</v>
      </c>
      <c r="B155" s="517">
        <v>3342</v>
      </c>
      <c r="C155" s="517" t="s">
        <v>405</v>
      </c>
      <c r="D155" s="517" t="s">
        <v>36</v>
      </c>
      <c r="E155" s="518" t="s">
        <v>767</v>
      </c>
      <c r="F155" s="540"/>
      <c r="G155" s="540"/>
      <c r="H155" s="540"/>
      <c r="I155" s="540">
        <v>17855.228333333333</v>
      </c>
      <c r="J155" s="540">
        <v>12270.271666666666</v>
      </c>
      <c r="K155" s="540">
        <v>13196.320750000001</v>
      </c>
      <c r="L155" s="541">
        <v>0</v>
      </c>
      <c r="M155" s="541" t="s">
        <v>1476</v>
      </c>
      <c r="N155" s="541">
        <v>0</v>
      </c>
      <c r="O155" s="541">
        <v>0</v>
      </c>
      <c r="P155" s="541">
        <v>0</v>
      </c>
      <c r="Q155" s="541">
        <v>0</v>
      </c>
      <c r="R155" s="541">
        <v>0</v>
      </c>
      <c r="S155" s="542" t="s">
        <v>1476</v>
      </c>
      <c r="T155" s="541">
        <v>84062.5</v>
      </c>
      <c r="U155" s="541">
        <v>84062.5</v>
      </c>
      <c r="V155" s="541">
        <v>84062.5</v>
      </c>
      <c r="W155" s="541">
        <v>84062.5</v>
      </c>
      <c r="X155" s="543" t="s">
        <v>1476</v>
      </c>
      <c r="Y155" s="541">
        <v>0</v>
      </c>
      <c r="Z155" s="541">
        <v>19475</v>
      </c>
      <c r="AA155" s="541">
        <v>0</v>
      </c>
      <c r="AB155" s="541">
        <v>0</v>
      </c>
      <c r="AC155" s="541">
        <v>0</v>
      </c>
      <c r="AD155" s="541">
        <v>0</v>
      </c>
      <c r="AE155" s="541">
        <v>0</v>
      </c>
      <c r="AF155" s="541">
        <v>0</v>
      </c>
      <c r="AG155" s="541">
        <v>0</v>
      </c>
      <c r="AH155" s="541">
        <v>25529</v>
      </c>
      <c r="AI155" s="541">
        <v>0</v>
      </c>
      <c r="AJ155" s="541">
        <v>0</v>
      </c>
      <c r="AK155" s="541">
        <v>0</v>
      </c>
      <c r="AL155" s="541">
        <v>0</v>
      </c>
      <c r="AM155" s="541">
        <v>0</v>
      </c>
      <c r="AN155" s="541">
        <v>0</v>
      </c>
      <c r="AO155" s="541">
        <v>0</v>
      </c>
      <c r="AP155" s="541">
        <v>0</v>
      </c>
      <c r="AQ155" s="541">
        <v>0</v>
      </c>
      <c r="AR155" s="541">
        <v>0</v>
      </c>
      <c r="AS155" s="541">
        <v>0</v>
      </c>
      <c r="AT155" s="543">
        <v>13600</v>
      </c>
      <c r="AU155" s="541">
        <v>0</v>
      </c>
      <c r="AV155" s="541">
        <v>7619.0625000000009</v>
      </c>
      <c r="AW155" s="541">
        <v>0</v>
      </c>
      <c r="AX155" s="541">
        <v>18125</v>
      </c>
      <c r="AY155" s="541">
        <v>7619.0625000000009</v>
      </c>
      <c r="AZ155" s="541">
        <v>0</v>
      </c>
      <c r="BA155" s="541">
        <v>0</v>
      </c>
      <c r="BB155" s="541">
        <v>0</v>
      </c>
      <c r="BC155" s="544">
        <v>471538.94575000001</v>
      </c>
      <c r="BD155" s="544">
        <v>471538.94575000001</v>
      </c>
      <c r="BE155" s="511"/>
      <c r="BF155" s="565">
        <v>428217.125</v>
      </c>
      <c r="BG155" s="565">
        <v>43321.820749999999</v>
      </c>
      <c r="BH155" s="565">
        <v>0</v>
      </c>
      <c r="BI155" s="565">
        <v>0</v>
      </c>
      <c r="BJ155" s="565">
        <v>471538.94575000001</v>
      </c>
      <c r="BK155" s="565">
        <v>0</v>
      </c>
      <c r="BL155" s="511"/>
      <c r="BM155" s="565">
        <v>336250</v>
      </c>
      <c r="BN155" s="565">
        <v>0</v>
      </c>
    </row>
    <row r="156" spans="1:66" ht="13.2" x14ac:dyDescent="0.25">
      <c r="A156" s="515" t="s">
        <v>614</v>
      </c>
      <c r="B156" s="517">
        <v>3367</v>
      </c>
      <c r="C156" s="517" t="s">
        <v>407</v>
      </c>
      <c r="D156" s="517" t="s">
        <v>36</v>
      </c>
      <c r="E156" s="518" t="s">
        <v>768</v>
      </c>
      <c r="F156" s="540"/>
      <c r="G156" s="540"/>
      <c r="H156" s="540"/>
      <c r="I156" s="540">
        <v>0</v>
      </c>
      <c r="J156" s="540">
        <v>0</v>
      </c>
      <c r="K156" s="540">
        <v>2581.6666666666665</v>
      </c>
      <c r="L156" s="541">
        <v>0</v>
      </c>
      <c r="M156" s="541" t="s">
        <v>1476</v>
      </c>
      <c r="N156" s="541">
        <v>0</v>
      </c>
      <c r="O156" s="541">
        <v>0</v>
      </c>
      <c r="P156" s="541">
        <v>0</v>
      </c>
      <c r="Q156" s="541">
        <v>0</v>
      </c>
      <c r="R156" s="541">
        <v>0</v>
      </c>
      <c r="S156" s="542" t="s">
        <v>1476</v>
      </c>
      <c r="T156" s="541">
        <v>25210</v>
      </c>
      <c r="U156" s="541">
        <v>25210</v>
      </c>
      <c r="V156" s="541">
        <v>25210</v>
      </c>
      <c r="W156" s="541">
        <v>25210</v>
      </c>
      <c r="X156" s="543" t="s">
        <v>1476</v>
      </c>
      <c r="Y156" s="541">
        <v>0</v>
      </c>
      <c r="Z156" s="541">
        <v>17786</v>
      </c>
      <c r="AA156" s="541">
        <v>0</v>
      </c>
      <c r="AB156" s="541">
        <v>0</v>
      </c>
      <c r="AC156" s="541">
        <v>0</v>
      </c>
      <c r="AD156" s="541">
        <v>0</v>
      </c>
      <c r="AE156" s="541">
        <v>0</v>
      </c>
      <c r="AF156" s="541">
        <v>0</v>
      </c>
      <c r="AG156" s="541">
        <v>0</v>
      </c>
      <c r="AH156" s="541">
        <v>26491</v>
      </c>
      <c r="AI156" s="541">
        <v>3056</v>
      </c>
      <c r="AJ156" s="541">
        <v>1082</v>
      </c>
      <c r="AK156" s="541">
        <v>0</v>
      </c>
      <c r="AL156" s="541">
        <v>0</v>
      </c>
      <c r="AM156" s="541">
        <v>0</v>
      </c>
      <c r="AN156" s="541">
        <v>0</v>
      </c>
      <c r="AO156" s="541">
        <v>0</v>
      </c>
      <c r="AP156" s="541">
        <v>0</v>
      </c>
      <c r="AQ156" s="541">
        <v>0</v>
      </c>
      <c r="AR156" s="541">
        <v>0</v>
      </c>
      <c r="AS156" s="541">
        <v>0</v>
      </c>
      <c r="AT156" s="543">
        <v>7000</v>
      </c>
      <c r="AU156" s="541">
        <v>0</v>
      </c>
      <c r="AV156" s="541">
        <v>2244.375</v>
      </c>
      <c r="AW156" s="541">
        <v>0</v>
      </c>
      <c r="AX156" s="541">
        <v>5220</v>
      </c>
      <c r="AY156" s="541">
        <v>2244.375</v>
      </c>
      <c r="AZ156" s="541">
        <v>0</v>
      </c>
      <c r="BA156" s="541">
        <v>0</v>
      </c>
      <c r="BB156" s="541">
        <v>0</v>
      </c>
      <c r="BC156" s="544">
        <v>168545.41666666669</v>
      </c>
      <c r="BD156" s="544">
        <v>168545.41666666669</v>
      </c>
      <c r="BE156" s="511"/>
      <c r="BF156" s="565">
        <v>165963.75</v>
      </c>
      <c r="BG156" s="565">
        <v>2581.6666666666665</v>
      </c>
      <c r="BH156" s="565">
        <v>0</v>
      </c>
      <c r="BI156" s="565">
        <v>0</v>
      </c>
      <c r="BJ156" s="565">
        <v>168545.41666666666</v>
      </c>
      <c r="BK156" s="565">
        <v>0</v>
      </c>
      <c r="BL156" s="511"/>
      <c r="BM156" s="565">
        <v>100840</v>
      </c>
      <c r="BN156" s="565">
        <v>0</v>
      </c>
    </row>
    <row r="157" spans="1:66" ht="13.2" x14ac:dyDescent="0.25">
      <c r="A157" s="515" t="s">
        <v>618</v>
      </c>
      <c r="B157" s="517">
        <v>3010</v>
      </c>
      <c r="C157" s="517" t="s">
        <v>409</v>
      </c>
      <c r="D157" s="517" t="s">
        <v>36</v>
      </c>
      <c r="E157" s="518" t="s">
        <v>769</v>
      </c>
      <c r="F157" s="540"/>
      <c r="G157" s="540"/>
      <c r="H157" s="540"/>
      <c r="I157" s="540">
        <v>6272.7042607843168</v>
      </c>
      <c r="J157" s="540">
        <v>3037.3760000000002</v>
      </c>
      <c r="K157" s="540">
        <v>14803.031999999999</v>
      </c>
      <c r="L157" s="541">
        <v>0</v>
      </c>
      <c r="M157" s="541" t="s">
        <v>1476</v>
      </c>
      <c r="N157" s="541">
        <v>0</v>
      </c>
      <c r="O157" s="541">
        <v>0</v>
      </c>
      <c r="P157" s="541">
        <v>0</v>
      </c>
      <c r="Q157" s="541">
        <v>0</v>
      </c>
      <c r="R157" s="541">
        <v>0</v>
      </c>
      <c r="S157" s="542" t="s">
        <v>1476</v>
      </c>
      <c r="T157" s="541">
        <v>55899.375</v>
      </c>
      <c r="U157" s="541">
        <v>55899.375</v>
      </c>
      <c r="V157" s="541">
        <v>55899.375</v>
      </c>
      <c r="W157" s="541">
        <v>55899.375</v>
      </c>
      <c r="X157" s="543" t="s">
        <v>1476</v>
      </c>
      <c r="Y157" s="541">
        <v>0</v>
      </c>
      <c r="Z157" s="541">
        <v>19569</v>
      </c>
      <c r="AA157" s="541">
        <v>0</v>
      </c>
      <c r="AB157" s="541">
        <v>0</v>
      </c>
      <c r="AC157" s="541">
        <v>0</v>
      </c>
      <c r="AD157" s="541">
        <v>0</v>
      </c>
      <c r="AE157" s="541">
        <v>0</v>
      </c>
      <c r="AF157" s="541">
        <v>0</v>
      </c>
      <c r="AG157" s="541">
        <v>0</v>
      </c>
      <c r="AH157" s="541">
        <v>48499</v>
      </c>
      <c r="AI157" s="541">
        <v>0</v>
      </c>
      <c r="AJ157" s="541">
        <v>0</v>
      </c>
      <c r="AK157" s="541">
        <v>0</v>
      </c>
      <c r="AL157" s="541">
        <v>0</v>
      </c>
      <c r="AM157" s="541">
        <v>0</v>
      </c>
      <c r="AN157" s="541">
        <v>0</v>
      </c>
      <c r="AO157" s="541">
        <v>0</v>
      </c>
      <c r="AP157" s="541">
        <v>0</v>
      </c>
      <c r="AQ157" s="541">
        <v>0</v>
      </c>
      <c r="AR157" s="541">
        <v>0</v>
      </c>
      <c r="AS157" s="541">
        <v>0</v>
      </c>
      <c r="AT157" s="543">
        <v>13880</v>
      </c>
      <c r="AU157" s="541">
        <v>0</v>
      </c>
      <c r="AV157" s="541">
        <v>5315.625</v>
      </c>
      <c r="AW157" s="541">
        <v>0</v>
      </c>
      <c r="AX157" s="541">
        <v>11999</v>
      </c>
      <c r="AY157" s="541">
        <v>5315.625</v>
      </c>
      <c r="AZ157" s="541">
        <v>0</v>
      </c>
      <c r="BA157" s="541">
        <v>0</v>
      </c>
      <c r="BB157" s="541">
        <v>0</v>
      </c>
      <c r="BC157" s="544">
        <v>352288.86226078431</v>
      </c>
      <c r="BD157" s="544">
        <v>352288.86226078431</v>
      </c>
      <c r="BE157" s="511"/>
      <c r="BF157" s="565">
        <v>328175.75</v>
      </c>
      <c r="BG157" s="565">
        <v>24113.112260784317</v>
      </c>
      <c r="BH157" s="565">
        <v>0</v>
      </c>
      <c r="BI157" s="565">
        <v>0</v>
      </c>
      <c r="BJ157" s="565">
        <v>352288.86226078431</v>
      </c>
      <c r="BK157" s="565">
        <v>0</v>
      </c>
      <c r="BL157" s="511"/>
      <c r="BM157" s="565">
        <v>223597.5</v>
      </c>
      <c r="BN157" s="565">
        <v>0</v>
      </c>
    </row>
    <row r="158" spans="1:66" ht="13.2" x14ac:dyDescent="0.25">
      <c r="A158" s="515" t="s">
        <v>614</v>
      </c>
      <c r="B158" s="517">
        <v>3410</v>
      </c>
      <c r="C158" s="517" t="s">
        <v>411</v>
      </c>
      <c r="D158" s="517" t="s">
        <v>36</v>
      </c>
      <c r="E158" s="518" t="s">
        <v>770</v>
      </c>
      <c r="F158" s="540"/>
      <c r="G158" s="540"/>
      <c r="H158" s="540"/>
      <c r="I158" s="540">
        <v>5056.7991666666676</v>
      </c>
      <c r="J158" s="540">
        <v>6552.9120000000003</v>
      </c>
      <c r="K158" s="540">
        <v>3825.0527500000003</v>
      </c>
      <c r="L158" s="541">
        <v>0</v>
      </c>
      <c r="M158" s="541" t="s">
        <v>1476</v>
      </c>
      <c r="N158" s="541">
        <v>0</v>
      </c>
      <c r="O158" s="541">
        <v>0</v>
      </c>
      <c r="P158" s="541">
        <v>0</v>
      </c>
      <c r="Q158" s="541">
        <v>0</v>
      </c>
      <c r="R158" s="541">
        <v>0</v>
      </c>
      <c r="S158" s="542" t="s">
        <v>1476</v>
      </c>
      <c r="T158" s="541">
        <v>23201.25</v>
      </c>
      <c r="U158" s="541">
        <v>23201.25</v>
      </c>
      <c r="V158" s="541">
        <v>23201.25</v>
      </c>
      <c r="W158" s="541">
        <v>23201.25</v>
      </c>
      <c r="X158" s="543" t="s">
        <v>1476</v>
      </c>
      <c r="Y158" s="541">
        <v>0</v>
      </c>
      <c r="Z158" s="541">
        <v>17790</v>
      </c>
      <c r="AA158" s="541">
        <v>0</v>
      </c>
      <c r="AB158" s="541">
        <v>0</v>
      </c>
      <c r="AC158" s="541">
        <v>0</v>
      </c>
      <c r="AD158" s="541">
        <v>0</v>
      </c>
      <c r="AE158" s="541">
        <v>0</v>
      </c>
      <c r="AF158" s="541">
        <v>0</v>
      </c>
      <c r="AG158" s="541">
        <v>0</v>
      </c>
      <c r="AH158" s="541">
        <v>31307</v>
      </c>
      <c r="AI158" s="541">
        <v>0</v>
      </c>
      <c r="AJ158" s="541">
        <v>0</v>
      </c>
      <c r="AK158" s="541">
        <v>0</v>
      </c>
      <c r="AL158" s="541">
        <v>0</v>
      </c>
      <c r="AM158" s="541">
        <v>0</v>
      </c>
      <c r="AN158" s="541">
        <v>0</v>
      </c>
      <c r="AO158" s="541">
        <v>0</v>
      </c>
      <c r="AP158" s="541">
        <v>0</v>
      </c>
      <c r="AQ158" s="541">
        <v>0</v>
      </c>
      <c r="AR158" s="541">
        <v>0</v>
      </c>
      <c r="AS158" s="541">
        <v>0</v>
      </c>
      <c r="AT158" s="543">
        <v>6930</v>
      </c>
      <c r="AU158" s="541">
        <v>0</v>
      </c>
      <c r="AV158" s="541">
        <v>2362.5</v>
      </c>
      <c r="AW158" s="541">
        <v>0</v>
      </c>
      <c r="AX158" s="541">
        <v>5002.5</v>
      </c>
      <c r="AY158" s="541">
        <v>2362.5</v>
      </c>
      <c r="AZ158" s="541">
        <v>0</v>
      </c>
      <c r="BA158" s="541">
        <v>0</v>
      </c>
      <c r="BB158" s="541">
        <v>0</v>
      </c>
      <c r="BC158" s="544">
        <v>173994.26391666668</v>
      </c>
      <c r="BD158" s="544">
        <v>173994.26391666668</v>
      </c>
      <c r="BE158" s="511"/>
      <c r="BF158" s="565">
        <v>158559.5</v>
      </c>
      <c r="BG158" s="565">
        <v>15434.763916666669</v>
      </c>
      <c r="BH158" s="565">
        <v>0</v>
      </c>
      <c r="BI158" s="565">
        <v>0</v>
      </c>
      <c r="BJ158" s="565">
        <v>173994.26391666668</v>
      </c>
      <c r="BK158" s="565">
        <v>0</v>
      </c>
      <c r="BL158" s="511"/>
      <c r="BM158" s="565">
        <v>92805</v>
      </c>
      <c r="BN158" s="565">
        <v>0</v>
      </c>
    </row>
    <row r="159" spans="1:66" s="403" customFormat="1" ht="13.2" x14ac:dyDescent="0.25">
      <c r="A159" s="547" t="s">
        <v>618</v>
      </c>
      <c r="B159" s="548">
        <v>3339</v>
      </c>
      <c r="C159" s="548" t="s">
        <v>414</v>
      </c>
      <c r="D159" s="548" t="s">
        <v>36</v>
      </c>
      <c r="E159" s="549" t="s">
        <v>771</v>
      </c>
      <c r="F159" s="550"/>
      <c r="G159" s="550"/>
      <c r="H159" s="550"/>
      <c r="I159" s="550">
        <v>6012.083333333333</v>
      </c>
      <c r="J159" s="550">
        <v>0</v>
      </c>
      <c r="K159" s="550">
        <v>0</v>
      </c>
      <c r="L159" s="541">
        <v>0</v>
      </c>
      <c r="M159" s="541" t="s">
        <v>1476</v>
      </c>
      <c r="N159" s="541">
        <v>0</v>
      </c>
      <c r="O159" s="541">
        <v>0</v>
      </c>
      <c r="P159" s="541">
        <v>0</v>
      </c>
      <c r="Q159" s="541">
        <v>0</v>
      </c>
      <c r="R159" s="541">
        <v>0</v>
      </c>
      <c r="S159" s="542" t="s">
        <v>1476</v>
      </c>
      <c r="T159" s="541">
        <v>43376.25</v>
      </c>
      <c r="U159" s="541">
        <v>28917.5</v>
      </c>
      <c r="V159" s="541">
        <v>0</v>
      </c>
      <c r="W159" s="541" t="s">
        <v>1476</v>
      </c>
      <c r="X159" s="543" t="s">
        <v>1476</v>
      </c>
      <c r="Y159" s="541">
        <v>0</v>
      </c>
      <c r="Z159" s="541">
        <v>7371</v>
      </c>
      <c r="AA159" s="541">
        <v>0</v>
      </c>
      <c r="AB159" s="541">
        <v>0</v>
      </c>
      <c r="AC159" s="541">
        <v>0</v>
      </c>
      <c r="AD159" s="541">
        <v>0</v>
      </c>
      <c r="AE159" s="541">
        <v>0</v>
      </c>
      <c r="AF159" s="541">
        <v>0</v>
      </c>
      <c r="AG159" s="541">
        <v>0</v>
      </c>
      <c r="AH159" s="541">
        <v>11116</v>
      </c>
      <c r="AI159" s="541">
        <v>0</v>
      </c>
      <c r="AJ159" s="541">
        <v>0</v>
      </c>
      <c r="AK159" s="541">
        <v>0</v>
      </c>
      <c r="AL159" s="541">
        <v>0</v>
      </c>
      <c r="AM159" s="541">
        <v>0</v>
      </c>
      <c r="AN159" s="541">
        <v>0</v>
      </c>
      <c r="AO159" s="541">
        <v>0</v>
      </c>
      <c r="AP159" s="541">
        <v>84</v>
      </c>
      <c r="AQ159" s="541">
        <v>0</v>
      </c>
      <c r="AR159" s="541">
        <v>0</v>
      </c>
      <c r="AS159" s="541">
        <v>0</v>
      </c>
      <c r="AT159" s="543">
        <v>6700</v>
      </c>
      <c r="AU159" s="541">
        <v>0</v>
      </c>
      <c r="AV159" s="541">
        <v>0</v>
      </c>
      <c r="AW159" s="541">
        <v>0</v>
      </c>
      <c r="AX159" s="541">
        <v>0</v>
      </c>
      <c r="AY159" s="541">
        <v>0</v>
      </c>
      <c r="AZ159" s="541">
        <v>0</v>
      </c>
      <c r="BA159" s="541">
        <v>0</v>
      </c>
      <c r="BB159" s="541">
        <v>0</v>
      </c>
      <c r="BC159" s="544">
        <v>103576.83333333334</v>
      </c>
      <c r="BD159" s="544">
        <v>103576.83333333334</v>
      </c>
      <c r="BE159" s="547"/>
      <c r="BF159" s="565">
        <v>97564.75</v>
      </c>
      <c r="BG159" s="565">
        <v>6012.083333333333</v>
      </c>
      <c r="BH159" s="565">
        <v>0</v>
      </c>
      <c r="BI159" s="565">
        <v>0</v>
      </c>
      <c r="BJ159" s="565">
        <v>103576.83333333333</v>
      </c>
      <c r="BK159" s="512">
        <v>0</v>
      </c>
      <c r="BL159" s="514"/>
      <c r="BM159" s="512">
        <v>72293.75</v>
      </c>
      <c r="BN159" s="512">
        <v>0</v>
      </c>
    </row>
    <row r="160" spans="1:66" ht="13.2" x14ac:dyDescent="0.25">
      <c r="A160" s="515" t="s">
        <v>616</v>
      </c>
      <c r="B160" s="517">
        <v>3377</v>
      </c>
      <c r="C160" s="517" t="s">
        <v>416</v>
      </c>
      <c r="D160" s="517" t="s">
        <v>107</v>
      </c>
      <c r="E160" s="518" t="s">
        <v>772</v>
      </c>
      <c r="F160" s="540"/>
      <c r="G160" s="540"/>
      <c r="H160" s="540"/>
      <c r="I160" s="540">
        <v>333.25</v>
      </c>
      <c r="J160" s="540">
        <v>4666.666666666667</v>
      </c>
      <c r="K160" s="540">
        <v>4666.666666666667</v>
      </c>
      <c r="L160" s="541">
        <v>0</v>
      </c>
      <c r="M160" s="541" t="s">
        <v>1476</v>
      </c>
      <c r="N160" s="541">
        <v>0</v>
      </c>
      <c r="O160" s="541">
        <v>0</v>
      </c>
      <c r="P160" s="541">
        <v>0</v>
      </c>
      <c r="Q160" s="541">
        <v>0</v>
      </c>
      <c r="R160" s="541">
        <v>0</v>
      </c>
      <c r="S160" s="542" t="s">
        <v>1476</v>
      </c>
      <c r="T160" s="541">
        <v>43712.5</v>
      </c>
      <c r="U160" s="541">
        <v>43712.5</v>
      </c>
      <c r="V160" s="541">
        <v>43712.5</v>
      </c>
      <c r="W160" s="541">
        <v>43712.5</v>
      </c>
      <c r="X160" s="543" t="s">
        <v>1476</v>
      </c>
      <c r="Y160" s="541">
        <v>0</v>
      </c>
      <c r="Z160" s="541">
        <v>17624</v>
      </c>
      <c r="AA160" s="541">
        <v>0</v>
      </c>
      <c r="AB160" s="541">
        <v>0</v>
      </c>
      <c r="AC160" s="541">
        <v>0</v>
      </c>
      <c r="AD160" s="541">
        <v>0</v>
      </c>
      <c r="AE160" s="541">
        <v>0</v>
      </c>
      <c r="AF160" s="541">
        <v>0</v>
      </c>
      <c r="AG160" s="541">
        <v>0</v>
      </c>
      <c r="AH160" s="541">
        <v>13005</v>
      </c>
      <c r="AI160" s="541">
        <v>2525</v>
      </c>
      <c r="AJ160" s="541">
        <v>893</v>
      </c>
      <c r="AK160" s="541">
        <v>0</v>
      </c>
      <c r="AL160" s="541">
        <v>0</v>
      </c>
      <c r="AM160" s="541">
        <v>0</v>
      </c>
      <c r="AN160" s="541">
        <v>0</v>
      </c>
      <c r="AO160" s="541">
        <v>0</v>
      </c>
      <c r="AP160" s="541">
        <v>0</v>
      </c>
      <c r="AQ160" s="541">
        <v>0</v>
      </c>
      <c r="AR160" s="541">
        <v>0</v>
      </c>
      <c r="AS160" s="541">
        <v>0</v>
      </c>
      <c r="AT160" s="543">
        <v>6360</v>
      </c>
      <c r="AU160" s="541">
        <v>0</v>
      </c>
      <c r="AV160" s="541">
        <v>4016.2500000000005</v>
      </c>
      <c r="AW160" s="541">
        <v>0</v>
      </c>
      <c r="AX160" s="541">
        <v>9425</v>
      </c>
      <c r="AY160" s="541">
        <v>4016.2500000000005</v>
      </c>
      <c r="AZ160" s="541">
        <v>0</v>
      </c>
      <c r="BA160" s="541">
        <v>0</v>
      </c>
      <c r="BB160" s="541">
        <v>0</v>
      </c>
      <c r="BC160" s="544">
        <v>242381.08333333334</v>
      </c>
      <c r="BD160" s="544">
        <v>242381.08333333334</v>
      </c>
      <c r="BE160" s="511"/>
      <c r="BF160" s="565">
        <v>232714.5</v>
      </c>
      <c r="BG160" s="565">
        <v>9666.5833333333339</v>
      </c>
      <c r="BH160" s="565">
        <v>0</v>
      </c>
      <c r="BI160" s="565">
        <v>0</v>
      </c>
      <c r="BJ160" s="565">
        <v>242381.08333333334</v>
      </c>
      <c r="BK160" s="565">
        <v>0</v>
      </c>
      <c r="BL160" s="511"/>
      <c r="BM160" s="565">
        <v>174850</v>
      </c>
      <c r="BN160" s="565">
        <v>0</v>
      </c>
    </row>
    <row r="161" spans="1:66" ht="13.2" x14ac:dyDescent="0.25">
      <c r="A161" s="515" t="s">
        <v>616</v>
      </c>
      <c r="B161" s="517">
        <v>3371</v>
      </c>
      <c r="C161" s="517" t="s">
        <v>418</v>
      </c>
      <c r="D161" s="517" t="s">
        <v>107</v>
      </c>
      <c r="E161" s="518" t="s">
        <v>773</v>
      </c>
      <c r="F161" s="540"/>
      <c r="G161" s="540"/>
      <c r="H161" s="540"/>
      <c r="I161" s="540">
        <v>0</v>
      </c>
      <c r="J161" s="540">
        <v>2410</v>
      </c>
      <c r="K161" s="540">
        <v>18882.5</v>
      </c>
      <c r="L161" s="541">
        <v>0</v>
      </c>
      <c r="M161" s="541" t="s">
        <v>1476</v>
      </c>
      <c r="N161" s="541">
        <v>0</v>
      </c>
      <c r="O161" s="541">
        <v>0</v>
      </c>
      <c r="P161" s="541">
        <v>0</v>
      </c>
      <c r="Q161" s="541">
        <v>0</v>
      </c>
      <c r="R161" s="541">
        <v>0</v>
      </c>
      <c r="S161" s="542" t="s">
        <v>1476</v>
      </c>
      <c r="T161" s="541">
        <v>17622.5</v>
      </c>
      <c r="U161" s="541">
        <v>17622.5</v>
      </c>
      <c r="V161" s="541">
        <v>17286.25</v>
      </c>
      <c r="W161" s="541">
        <v>16613.75</v>
      </c>
      <c r="X161" s="543" t="s">
        <v>1476</v>
      </c>
      <c r="Y161" s="541">
        <v>0</v>
      </c>
      <c r="Z161" s="541">
        <v>17800</v>
      </c>
      <c r="AA161" s="541">
        <v>0</v>
      </c>
      <c r="AB161" s="541">
        <v>0</v>
      </c>
      <c r="AC161" s="541">
        <v>0</v>
      </c>
      <c r="AD161" s="541">
        <v>0</v>
      </c>
      <c r="AE161" s="541">
        <v>0</v>
      </c>
      <c r="AF161" s="541">
        <v>0</v>
      </c>
      <c r="AG161" s="541">
        <v>0</v>
      </c>
      <c r="AH161" s="541">
        <v>92458</v>
      </c>
      <c r="AI161" s="541">
        <v>0</v>
      </c>
      <c r="AJ161" s="541">
        <v>0</v>
      </c>
      <c r="AK161" s="541">
        <v>0</v>
      </c>
      <c r="AL161" s="541">
        <v>0</v>
      </c>
      <c r="AM161" s="541">
        <v>0</v>
      </c>
      <c r="AN161" s="541">
        <v>0</v>
      </c>
      <c r="AO161" s="541">
        <v>0</v>
      </c>
      <c r="AP161" s="541">
        <v>0</v>
      </c>
      <c r="AQ161" s="541">
        <v>0</v>
      </c>
      <c r="AR161" s="541">
        <v>1200</v>
      </c>
      <c r="AS161" s="541">
        <v>0</v>
      </c>
      <c r="AT161" s="543">
        <v>9030</v>
      </c>
      <c r="AU161" s="541">
        <v>0</v>
      </c>
      <c r="AV161" s="541">
        <v>1181.25</v>
      </c>
      <c r="AW161" s="541">
        <v>0</v>
      </c>
      <c r="AX161" s="541">
        <v>3407.5</v>
      </c>
      <c r="AY161" s="541">
        <v>1181.25</v>
      </c>
      <c r="AZ161" s="541">
        <v>0</v>
      </c>
      <c r="BA161" s="541">
        <v>0</v>
      </c>
      <c r="BB161" s="541">
        <v>0</v>
      </c>
      <c r="BC161" s="544">
        <v>216695.5</v>
      </c>
      <c r="BD161" s="544">
        <v>216695.5</v>
      </c>
      <c r="BE161" s="511"/>
      <c r="BF161" s="565">
        <v>195403</v>
      </c>
      <c r="BG161" s="565">
        <v>21292.5</v>
      </c>
      <c r="BH161" s="565">
        <v>0</v>
      </c>
      <c r="BI161" s="565">
        <v>0</v>
      </c>
      <c r="BJ161" s="565">
        <v>216695.5</v>
      </c>
      <c r="BK161" s="565">
        <v>0</v>
      </c>
      <c r="BL161" s="511"/>
      <c r="BM161" s="565">
        <v>69145</v>
      </c>
      <c r="BN161" s="565">
        <v>0</v>
      </c>
    </row>
    <row r="162" spans="1:66" ht="13.2" x14ac:dyDescent="0.25">
      <c r="A162" s="515" t="s">
        <v>618</v>
      </c>
      <c r="B162" s="517">
        <v>3307</v>
      </c>
      <c r="C162" s="517" t="s">
        <v>420</v>
      </c>
      <c r="D162" s="517" t="s">
        <v>36</v>
      </c>
      <c r="E162" s="518" t="s">
        <v>774</v>
      </c>
      <c r="F162" s="540"/>
      <c r="G162" s="540"/>
      <c r="H162" s="540"/>
      <c r="I162" s="540">
        <v>13419.766249999999</v>
      </c>
      <c r="J162" s="540">
        <v>4918.7910000000002</v>
      </c>
      <c r="K162" s="540">
        <v>7730.759250000001</v>
      </c>
      <c r="L162" s="541">
        <v>0</v>
      </c>
      <c r="M162" s="541" t="s">
        <v>1476</v>
      </c>
      <c r="N162" s="541">
        <v>0</v>
      </c>
      <c r="O162" s="541">
        <v>0</v>
      </c>
      <c r="P162" s="541">
        <v>0</v>
      </c>
      <c r="Q162" s="541">
        <v>0</v>
      </c>
      <c r="R162" s="541">
        <v>0</v>
      </c>
      <c r="S162" s="542" t="s">
        <v>1476</v>
      </c>
      <c r="T162" s="541">
        <v>33271.25</v>
      </c>
      <c r="U162" s="541">
        <v>33271.25</v>
      </c>
      <c r="V162" s="541">
        <v>32935</v>
      </c>
      <c r="W162" s="541">
        <v>32262.5</v>
      </c>
      <c r="X162" s="543" t="s">
        <v>1476</v>
      </c>
      <c r="Y162" s="541">
        <v>0</v>
      </c>
      <c r="Z162" s="541">
        <v>19565</v>
      </c>
      <c r="AA162" s="541">
        <v>0</v>
      </c>
      <c r="AB162" s="541">
        <v>0</v>
      </c>
      <c r="AC162" s="541">
        <v>0</v>
      </c>
      <c r="AD162" s="541">
        <v>0</v>
      </c>
      <c r="AE162" s="541">
        <v>0</v>
      </c>
      <c r="AF162" s="541">
        <v>0</v>
      </c>
      <c r="AG162" s="541">
        <v>0</v>
      </c>
      <c r="AH162" s="541">
        <v>0</v>
      </c>
      <c r="AI162" s="541">
        <v>0</v>
      </c>
      <c r="AJ162" s="541">
        <v>0</v>
      </c>
      <c r="AK162" s="541">
        <v>0</v>
      </c>
      <c r="AL162" s="541">
        <v>0</v>
      </c>
      <c r="AM162" s="541">
        <v>0</v>
      </c>
      <c r="AN162" s="541">
        <v>0</v>
      </c>
      <c r="AO162" s="541">
        <v>0</v>
      </c>
      <c r="AP162" s="541">
        <v>0</v>
      </c>
      <c r="AQ162" s="541">
        <v>0</v>
      </c>
      <c r="AR162" s="541">
        <v>0</v>
      </c>
      <c r="AS162" s="541">
        <v>0</v>
      </c>
      <c r="AT162" s="543">
        <v>11930</v>
      </c>
      <c r="AU162" s="541">
        <v>0</v>
      </c>
      <c r="AV162" s="541">
        <v>3425.625</v>
      </c>
      <c r="AW162" s="541">
        <v>0</v>
      </c>
      <c r="AX162" s="541">
        <v>6960</v>
      </c>
      <c r="AY162" s="541">
        <v>3425.625</v>
      </c>
      <c r="AZ162" s="541">
        <v>0</v>
      </c>
      <c r="BA162" s="541">
        <v>0</v>
      </c>
      <c r="BB162" s="541">
        <v>0</v>
      </c>
      <c r="BC162" s="544">
        <v>203115.56650000002</v>
      </c>
      <c r="BD162" s="544">
        <v>203115.56650000002</v>
      </c>
      <c r="BE162" s="511"/>
      <c r="BF162" s="565">
        <v>177046.25</v>
      </c>
      <c r="BG162" s="565">
        <v>26069.316500000001</v>
      </c>
      <c r="BH162" s="565">
        <v>0</v>
      </c>
      <c r="BI162" s="565">
        <v>0</v>
      </c>
      <c r="BJ162" s="565">
        <v>203115.56650000002</v>
      </c>
      <c r="BK162" s="565">
        <v>0</v>
      </c>
      <c r="BL162" s="511"/>
      <c r="BM162" s="565">
        <v>131740</v>
      </c>
      <c r="BN162" s="565">
        <v>0</v>
      </c>
    </row>
    <row r="163" spans="1:66" ht="13.2" x14ac:dyDescent="0.25">
      <c r="A163" s="515" t="s">
        <v>614</v>
      </c>
      <c r="B163" s="517">
        <v>3361</v>
      </c>
      <c r="C163" s="517" t="s">
        <v>422</v>
      </c>
      <c r="D163" s="517" t="s">
        <v>36</v>
      </c>
      <c r="E163" s="518" t="s">
        <v>775</v>
      </c>
      <c r="F163" s="540"/>
      <c r="G163" s="540"/>
      <c r="H163" s="540"/>
      <c r="I163" s="540">
        <v>1544.1666666666665</v>
      </c>
      <c r="J163" s="540">
        <v>0</v>
      </c>
      <c r="K163" s="540">
        <v>0</v>
      </c>
      <c r="L163" s="541">
        <v>0</v>
      </c>
      <c r="M163" s="541" t="s">
        <v>1476</v>
      </c>
      <c r="N163" s="541">
        <v>0</v>
      </c>
      <c r="O163" s="541">
        <v>0</v>
      </c>
      <c r="P163" s="541">
        <v>0</v>
      </c>
      <c r="Q163" s="541">
        <v>0</v>
      </c>
      <c r="R163" s="541">
        <v>0</v>
      </c>
      <c r="S163" s="542" t="s">
        <v>1476</v>
      </c>
      <c r="T163" s="541">
        <v>53127.5</v>
      </c>
      <c r="U163" s="541">
        <v>53127.5</v>
      </c>
      <c r="V163" s="541">
        <v>53127.5</v>
      </c>
      <c r="W163" s="541">
        <v>53127.5</v>
      </c>
      <c r="X163" s="543" t="s">
        <v>1476</v>
      </c>
      <c r="Y163" s="541">
        <v>0</v>
      </c>
      <c r="Z163" s="541">
        <v>19185</v>
      </c>
      <c r="AA163" s="541">
        <v>0</v>
      </c>
      <c r="AB163" s="541">
        <v>0</v>
      </c>
      <c r="AC163" s="541">
        <v>0</v>
      </c>
      <c r="AD163" s="541">
        <v>0</v>
      </c>
      <c r="AE163" s="541">
        <v>0</v>
      </c>
      <c r="AF163" s="541">
        <v>0</v>
      </c>
      <c r="AG163" s="541">
        <v>0</v>
      </c>
      <c r="AH163" s="541">
        <v>31530</v>
      </c>
      <c r="AI163" s="541">
        <v>3189</v>
      </c>
      <c r="AJ163" s="541">
        <v>1128</v>
      </c>
      <c r="AK163" s="541">
        <v>0</v>
      </c>
      <c r="AL163" s="541">
        <v>0</v>
      </c>
      <c r="AM163" s="541">
        <v>0</v>
      </c>
      <c r="AN163" s="541">
        <v>0</v>
      </c>
      <c r="AO163" s="541">
        <v>0</v>
      </c>
      <c r="AP163" s="541">
        <v>0</v>
      </c>
      <c r="AQ163" s="541">
        <v>0</v>
      </c>
      <c r="AR163" s="541">
        <v>0</v>
      </c>
      <c r="AS163" s="541">
        <v>0</v>
      </c>
      <c r="AT163" s="543">
        <v>12430</v>
      </c>
      <c r="AU163" s="541">
        <v>0</v>
      </c>
      <c r="AV163" s="541">
        <v>4961.25</v>
      </c>
      <c r="AW163" s="541">
        <v>0</v>
      </c>
      <c r="AX163" s="541">
        <v>11455</v>
      </c>
      <c r="AY163" s="541">
        <v>4961.25</v>
      </c>
      <c r="AZ163" s="541">
        <v>0</v>
      </c>
      <c r="BA163" s="541">
        <v>0</v>
      </c>
      <c r="BB163" s="541">
        <v>0</v>
      </c>
      <c r="BC163" s="544">
        <v>302893.66666666663</v>
      </c>
      <c r="BD163" s="544">
        <v>302893.66666666663</v>
      </c>
      <c r="BE163" s="511"/>
      <c r="BF163" s="565">
        <v>301349.5</v>
      </c>
      <c r="BG163" s="565">
        <v>1544.1666666666665</v>
      </c>
      <c r="BH163" s="565">
        <v>0</v>
      </c>
      <c r="BI163" s="565">
        <v>0</v>
      </c>
      <c r="BJ163" s="565">
        <v>302893.66666666669</v>
      </c>
      <c r="BK163" s="565">
        <v>0</v>
      </c>
      <c r="BL163" s="511"/>
      <c r="BM163" s="565">
        <v>212510</v>
      </c>
      <c r="BN163" s="565">
        <v>0</v>
      </c>
    </row>
    <row r="164" spans="1:66" ht="13.2" x14ac:dyDescent="0.25">
      <c r="A164" s="515" t="s">
        <v>614</v>
      </c>
      <c r="B164" s="517">
        <v>3383</v>
      </c>
      <c r="C164" s="517" t="s">
        <v>424</v>
      </c>
      <c r="D164" s="517" t="s">
        <v>36</v>
      </c>
      <c r="E164" s="518" t="s">
        <v>776</v>
      </c>
      <c r="F164" s="540"/>
      <c r="G164" s="540"/>
      <c r="H164" s="540"/>
      <c r="I164" s="540">
        <v>2505.8333333333335</v>
      </c>
      <c r="J164" s="540">
        <v>0</v>
      </c>
      <c r="K164" s="540">
        <v>0</v>
      </c>
      <c r="L164" s="541">
        <v>0</v>
      </c>
      <c r="M164" s="541" t="s">
        <v>1476</v>
      </c>
      <c r="N164" s="541">
        <v>0</v>
      </c>
      <c r="O164" s="541">
        <v>0</v>
      </c>
      <c r="P164" s="541">
        <v>0</v>
      </c>
      <c r="Q164" s="541">
        <v>0</v>
      </c>
      <c r="R164" s="541">
        <v>0</v>
      </c>
      <c r="S164" s="542" t="s">
        <v>1476</v>
      </c>
      <c r="T164" s="541">
        <v>19502.5</v>
      </c>
      <c r="U164" s="541">
        <v>19502.5</v>
      </c>
      <c r="V164" s="541">
        <v>19502.5</v>
      </c>
      <c r="W164" s="541">
        <v>19502.5</v>
      </c>
      <c r="X164" s="543" t="s">
        <v>1476</v>
      </c>
      <c r="Y164" s="541">
        <v>0</v>
      </c>
      <c r="Z164" s="541">
        <v>17790</v>
      </c>
      <c r="AA164" s="541">
        <v>0</v>
      </c>
      <c r="AB164" s="541">
        <v>0</v>
      </c>
      <c r="AC164" s="541">
        <v>0</v>
      </c>
      <c r="AD164" s="541">
        <v>0</v>
      </c>
      <c r="AE164" s="541">
        <v>0</v>
      </c>
      <c r="AF164" s="541">
        <v>0</v>
      </c>
      <c r="AG164" s="541">
        <v>0</v>
      </c>
      <c r="AH164" s="541">
        <v>28528</v>
      </c>
      <c r="AI164" s="541">
        <v>0</v>
      </c>
      <c r="AJ164" s="541">
        <v>0</v>
      </c>
      <c r="AK164" s="541">
        <v>0</v>
      </c>
      <c r="AL164" s="541">
        <v>0</v>
      </c>
      <c r="AM164" s="541">
        <v>0</v>
      </c>
      <c r="AN164" s="541">
        <v>0</v>
      </c>
      <c r="AO164" s="541">
        <v>0</v>
      </c>
      <c r="AP164" s="541">
        <v>0</v>
      </c>
      <c r="AQ164" s="541">
        <v>0</v>
      </c>
      <c r="AR164" s="541">
        <v>0</v>
      </c>
      <c r="AS164" s="541">
        <v>0</v>
      </c>
      <c r="AT164" s="543">
        <v>6960</v>
      </c>
      <c r="AU164" s="541">
        <v>0</v>
      </c>
      <c r="AV164" s="541">
        <v>1830.9375000000002</v>
      </c>
      <c r="AW164" s="541">
        <v>0</v>
      </c>
      <c r="AX164" s="541">
        <v>4205</v>
      </c>
      <c r="AY164" s="541">
        <v>1830.9375000000002</v>
      </c>
      <c r="AZ164" s="541">
        <v>0</v>
      </c>
      <c r="BA164" s="541">
        <v>0</v>
      </c>
      <c r="BB164" s="541">
        <v>0</v>
      </c>
      <c r="BC164" s="544">
        <v>141660.70833333331</v>
      </c>
      <c r="BD164" s="544">
        <v>141660.70833333331</v>
      </c>
      <c r="BE164" s="511"/>
      <c r="BF164" s="565">
        <v>139154.875</v>
      </c>
      <c r="BG164" s="565">
        <v>2505.8333333333335</v>
      </c>
      <c r="BH164" s="565">
        <v>0</v>
      </c>
      <c r="BI164" s="565">
        <v>0</v>
      </c>
      <c r="BJ164" s="565">
        <v>141660.70833333334</v>
      </c>
      <c r="BK164" s="565">
        <v>0</v>
      </c>
      <c r="BL164" s="511"/>
      <c r="BM164" s="565">
        <v>78010</v>
      </c>
      <c r="BN164" s="565">
        <v>0</v>
      </c>
    </row>
    <row r="165" spans="1:66" ht="13.2" x14ac:dyDescent="0.25">
      <c r="A165" s="515" t="s">
        <v>618</v>
      </c>
      <c r="B165" s="517">
        <v>3382</v>
      </c>
      <c r="C165" s="517" t="s">
        <v>426</v>
      </c>
      <c r="D165" s="517" t="s">
        <v>36</v>
      </c>
      <c r="E165" s="518" t="s">
        <v>777</v>
      </c>
      <c r="F165" s="540"/>
      <c r="G165" s="540"/>
      <c r="H165" s="540"/>
      <c r="I165" s="540">
        <v>3002.3541666666665</v>
      </c>
      <c r="J165" s="540">
        <v>1008.3333333333334</v>
      </c>
      <c r="K165" s="540">
        <v>756.24750000000006</v>
      </c>
      <c r="L165" s="541">
        <v>0</v>
      </c>
      <c r="M165" s="541" t="s">
        <v>1476</v>
      </c>
      <c r="N165" s="541">
        <v>0</v>
      </c>
      <c r="O165" s="541">
        <v>0</v>
      </c>
      <c r="P165" s="541">
        <v>0</v>
      </c>
      <c r="Q165" s="541">
        <v>0</v>
      </c>
      <c r="R165" s="541">
        <v>0</v>
      </c>
      <c r="S165" s="542" t="s">
        <v>1476</v>
      </c>
      <c r="T165" s="541">
        <v>24373.75</v>
      </c>
      <c r="U165" s="541">
        <v>24373.75</v>
      </c>
      <c r="V165" s="541">
        <v>24373.75</v>
      </c>
      <c r="W165" s="541">
        <v>24373.75</v>
      </c>
      <c r="X165" s="543" t="s">
        <v>1476</v>
      </c>
      <c r="Y165" s="541">
        <v>0</v>
      </c>
      <c r="Z165" s="541">
        <v>17756</v>
      </c>
      <c r="AA165" s="541">
        <v>0</v>
      </c>
      <c r="AB165" s="541">
        <v>0</v>
      </c>
      <c r="AC165" s="541">
        <v>0</v>
      </c>
      <c r="AD165" s="541">
        <v>0</v>
      </c>
      <c r="AE165" s="541">
        <v>0</v>
      </c>
      <c r="AF165" s="541">
        <v>0</v>
      </c>
      <c r="AG165" s="541">
        <v>0</v>
      </c>
      <c r="AH165" s="541">
        <v>25973</v>
      </c>
      <c r="AI165" s="541">
        <v>0</v>
      </c>
      <c r="AJ165" s="541">
        <v>0</v>
      </c>
      <c r="AK165" s="541">
        <v>0</v>
      </c>
      <c r="AL165" s="541">
        <v>0</v>
      </c>
      <c r="AM165" s="541">
        <v>0</v>
      </c>
      <c r="AN165" s="541">
        <v>0</v>
      </c>
      <c r="AO165" s="541">
        <v>0</v>
      </c>
      <c r="AP165" s="541">
        <v>752.5</v>
      </c>
      <c r="AQ165" s="541">
        <v>0</v>
      </c>
      <c r="AR165" s="541">
        <v>0</v>
      </c>
      <c r="AS165" s="541">
        <v>0</v>
      </c>
      <c r="AT165" s="543">
        <v>6830</v>
      </c>
      <c r="AU165" s="541">
        <v>0</v>
      </c>
      <c r="AV165" s="541">
        <v>2303.4375</v>
      </c>
      <c r="AW165" s="541">
        <v>0</v>
      </c>
      <c r="AX165" s="541">
        <v>5147.5</v>
      </c>
      <c r="AY165" s="541">
        <v>2303.4375</v>
      </c>
      <c r="AZ165" s="541">
        <v>0</v>
      </c>
      <c r="BA165" s="541">
        <v>0</v>
      </c>
      <c r="BB165" s="541">
        <v>0</v>
      </c>
      <c r="BC165" s="544">
        <v>163327.81</v>
      </c>
      <c r="BD165" s="544">
        <v>163327.81</v>
      </c>
      <c r="BE165" s="511"/>
      <c r="BF165" s="565">
        <v>158560.875</v>
      </c>
      <c r="BG165" s="565">
        <v>4766.9350000000004</v>
      </c>
      <c r="BH165" s="565">
        <v>0</v>
      </c>
      <c r="BI165" s="565">
        <v>0</v>
      </c>
      <c r="BJ165" s="565">
        <v>163327.81</v>
      </c>
      <c r="BK165" s="565">
        <v>0</v>
      </c>
      <c r="BL165" s="511"/>
      <c r="BM165" s="565">
        <v>97495</v>
      </c>
      <c r="BN165" s="565">
        <v>0</v>
      </c>
    </row>
    <row r="166" spans="1:66" ht="13.2" x14ac:dyDescent="0.25">
      <c r="A166" s="515" t="s">
        <v>618</v>
      </c>
      <c r="B166" s="517">
        <v>3025</v>
      </c>
      <c r="C166" s="517" t="s">
        <v>428</v>
      </c>
      <c r="D166" s="517" t="s">
        <v>36</v>
      </c>
      <c r="E166" s="518" t="s">
        <v>778</v>
      </c>
      <c r="F166" s="540"/>
      <c r="G166" s="540"/>
      <c r="H166" s="540"/>
      <c r="I166" s="540">
        <v>14692.796830339174</v>
      </c>
      <c r="J166" s="540">
        <v>17898.761000000002</v>
      </c>
      <c r="K166" s="540">
        <v>19374.073250000001</v>
      </c>
      <c r="L166" s="541">
        <v>9000</v>
      </c>
      <c r="M166" s="541" t="s">
        <v>1476</v>
      </c>
      <c r="N166" s="541">
        <v>0</v>
      </c>
      <c r="O166" s="541">
        <v>0</v>
      </c>
      <c r="P166" s="541">
        <v>0</v>
      </c>
      <c r="Q166" s="541">
        <v>0</v>
      </c>
      <c r="R166" s="541">
        <v>0</v>
      </c>
      <c r="S166" s="542" t="s">
        <v>1476</v>
      </c>
      <c r="T166" s="541">
        <v>32857.5</v>
      </c>
      <c r="U166" s="541">
        <v>32857.5</v>
      </c>
      <c r="V166" s="541">
        <v>32521.25</v>
      </c>
      <c r="W166" s="541">
        <v>31848.75</v>
      </c>
      <c r="X166" s="543" t="s">
        <v>1476</v>
      </c>
      <c r="Y166" s="541">
        <v>0</v>
      </c>
      <c r="Z166" s="541">
        <v>19574</v>
      </c>
      <c r="AA166" s="541">
        <v>0</v>
      </c>
      <c r="AB166" s="541">
        <v>0</v>
      </c>
      <c r="AC166" s="541">
        <v>0</v>
      </c>
      <c r="AD166" s="541">
        <v>0</v>
      </c>
      <c r="AE166" s="541">
        <v>0</v>
      </c>
      <c r="AF166" s="541">
        <v>0</v>
      </c>
      <c r="AG166" s="541">
        <v>0</v>
      </c>
      <c r="AH166" s="541">
        <v>51482</v>
      </c>
      <c r="AI166" s="541">
        <v>0</v>
      </c>
      <c r="AJ166" s="541">
        <v>0</v>
      </c>
      <c r="AK166" s="541">
        <v>0</v>
      </c>
      <c r="AL166" s="541">
        <v>0</v>
      </c>
      <c r="AM166" s="541">
        <v>0</v>
      </c>
      <c r="AN166" s="541">
        <v>0</v>
      </c>
      <c r="AO166" s="541">
        <v>0</v>
      </c>
      <c r="AP166" s="541">
        <v>0</v>
      </c>
      <c r="AQ166" s="541">
        <v>0</v>
      </c>
      <c r="AR166" s="541">
        <v>0</v>
      </c>
      <c r="AS166" s="541">
        <v>0</v>
      </c>
      <c r="AT166" s="543">
        <v>13930</v>
      </c>
      <c r="AU166" s="541">
        <v>0</v>
      </c>
      <c r="AV166" s="541">
        <v>3012.1875</v>
      </c>
      <c r="AW166" s="541">
        <v>0</v>
      </c>
      <c r="AX166" s="541">
        <v>6887.5</v>
      </c>
      <c r="AY166" s="541">
        <v>2894.0625</v>
      </c>
      <c r="AZ166" s="541">
        <v>0</v>
      </c>
      <c r="BA166" s="541">
        <v>0</v>
      </c>
      <c r="BB166" s="541">
        <v>0</v>
      </c>
      <c r="BC166" s="544">
        <v>288830.3810803392</v>
      </c>
      <c r="BD166" s="544">
        <v>288830.3810803392</v>
      </c>
      <c r="BE166" s="511"/>
      <c r="BF166" s="565">
        <v>227864.75</v>
      </c>
      <c r="BG166" s="565">
        <v>60965.631080339175</v>
      </c>
      <c r="BH166" s="565">
        <v>0</v>
      </c>
      <c r="BI166" s="565">
        <v>0</v>
      </c>
      <c r="BJ166" s="565">
        <v>288830.3810803392</v>
      </c>
      <c r="BK166" s="565">
        <v>0</v>
      </c>
      <c r="BL166" s="511"/>
      <c r="BM166" s="565">
        <v>130085</v>
      </c>
      <c r="BN166" s="565">
        <v>0</v>
      </c>
    </row>
    <row r="167" spans="1:66" ht="13.2" x14ac:dyDescent="0.25">
      <c r="A167" s="515" t="s">
        <v>614</v>
      </c>
      <c r="B167" s="517">
        <v>3344</v>
      </c>
      <c r="C167" s="517" t="s">
        <v>430</v>
      </c>
      <c r="D167" s="517" t="s">
        <v>36</v>
      </c>
      <c r="E167" s="518" t="s">
        <v>779</v>
      </c>
      <c r="F167" s="540"/>
      <c r="G167" s="540"/>
      <c r="H167" s="540"/>
      <c r="I167" s="540">
        <v>0</v>
      </c>
      <c r="J167" s="540">
        <v>0</v>
      </c>
      <c r="K167" s="540">
        <v>8209.75</v>
      </c>
      <c r="L167" s="541">
        <v>0</v>
      </c>
      <c r="M167" s="541" t="s">
        <v>1476</v>
      </c>
      <c r="N167" s="541">
        <v>0</v>
      </c>
      <c r="O167" s="541">
        <v>0</v>
      </c>
      <c r="P167" s="541">
        <v>0</v>
      </c>
      <c r="Q167" s="541">
        <v>0</v>
      </c>
      <c r="R167" s="541">
        <v>0</v>
      </c>
      <c r="S167" s="542" t="s">
        <v>1476</v>
      </c>
      <c r="T167" s="541">
        <v>20252.5</v>
      </c>
      <c r="U167" s="541">
        <v>20252.5</v>
      </c>
      <c r="V167" s="541">
        <v>20252.5</v>
      </c>
      <c r="W167" s="541">
        <v>20252.5</v>
      </c>
      <c r="X167" s="543" t="s">
        <v>1476</v>
      </c>
      <c r="Y167" s="541">
        <v>0</v>
      </c>
      <c r="Z167" s="541">
        <v>19554</v>
      </c>
      <c r="AA167" s="541">
        <v>0</v>
      </c>
      <c r="AB167" s="541">
        <v>0</v>
      </c>
      <c r="AC167" s="541">
        <v>0</v>
      </c>
      <c r="AD167" s="541">
        <v>0</v>
      </c>
      <c r="AE167" s="541">
        <v>0</v>
      </c>
      <c r="AF167" s="541">
        <v>0</v>
      </c>
      <c r="AG167" s="541">
        <v>0</v>
      </c>
      <c r="AH167" s="541">
        <v>54131</v>
      </c>
      <c r="AI167" s="541">
        <v>0</v>
      </c>
      <c r="AJ167" s="541">
        <v>0</v>
      </c>
      <c r="AK167" s="541">
        <v>0</v>
      </c>
      <c r="AL167" s="541">
        <v>0</v>
      </c>
      <c r="AM167" s="541">
        <v>0</v>
      </c>
      <c r="AN167" s="541">
        <v>0</v>
      </c>
      <c r="AO167" s="541">
        <v>0</v>
      </c>
      <c r="AP167" s="541">
        <v>0</v>
      </c>
      <c r="AQ167" s="541">
        <v>0</v>
      </c>
      <c r="AR167" s="541">
        <v>1200</v>
      </c>
      <c r="AS167" s="541">
        <v>0</v>
      </c>
      <c r="AT167" s="543">
        <v>13800</v>
      </c>
      <c r="AU167" s="541">
        <v>0</v>
      </c>
      <c r="AV167" s="541">
        <v>1890.0000000000002</v>
      </c>
      <c r="AW167" s="541">
        <v>0</v>
      </c>
      <c r="AX167" s="541">
        <v>4350</v>
      </c>
      <c r="AY167" s="541">
        <v>1890.0000000000002</v>
      </c>
      <c r="AZ167" s="541">
        <v>0</v>
      </c>
      <c r="BA167" s="541">
        <v>0</v>
      </c>
      <c r="BB167" s="541">
        <v>0</v>
      </c>
      <c r="BC167" s="544">
        <v>186034.75</v>
      </c>
      <c r="BD167" s="544">
        <v>186034.75</v>
      </c>
      <c r="BE167" s="511"/>
      <c r="BF167" s="565">
        <v>177825</v>
      </c>
      <c r="BG167" s="565">
        <v>8209.75</v>
      </c>
      <c r="BH167" s="565">
        <v>0</v>
      </c>
      <c r="BI167" s="565">
        <v>0</v>
      </c>
      <c r="BJ167" s="565">
        <v>186034.75</v>
      </c>
      <c r="BK167" s="565">
        <v>0</v>
      </c>
      <c r="BL167" s="511"/>
      <c r="BM167" s="565">
        <v>81010</v>
      </c>
      <c r="BN167" s="565">
        <v>0</v>
      </c>
    </row>
    <row r="168" spans="1:66" ht="13.2" x14ac:dyDescent="0.25">
      <c r="A168" s="515" t="s">
        <v>616</v>
      </c>
      <c r="B168" s="517">
        <v>3016</v>
      </c>
      <c r="C168" s="517" t="s">
        <v>432</v>
      </c>
      <c r="D168" s="517" t="s">
        <v>107</v>
      </c>
      <c r="E168" s="518" t="s">
        <v>780</v>
      </c>
      <c r="F168" s="540"/>
      <c r="G168" s="540"/>
      <c r="H168" s="540"/>
      <c r="I168" s="540">
        <v>0</v>
      </c>
      <c r="J168" s="540">
        <v>0</v>
      </c>
      <c r="K168" s="540">
        <v>2000</v>
      </c>
      <c r="L168" s="541">
        <v>3000</v>
      </c>
      <c r="M168" s="541" t="s">
        <v>1476</v>
      </c>
      <c r="N168" s="541">
        <v>0</v>
      </c>
      <c r="O168" s="541">
        <v>0</v>
      </c>
      <c r="P168" s="541">
        <v>0</v>
      </c>
      <c r="Q168" s="541">
        <v>0</v>
      </c>
      <c r="R168" s="541">
        <v>0</v>
      </c>
      <c r="S168" s="542" t="s">
        <v>1476</v>
      </c>
      <c r="T168" s="541">
        <v>39341.25</v>
      </c>
      <c r="U168" s="541">
        <v>39341.25</v>
      </c>
      <c r="V168" s="541">
        <v>39341.25</v>
      </c>
      <c r="W168" s="541">
        <v>39341.25</v>
      </c>
      <c r="X168" s="543" t="s">
        <v>1476</v>
      </c>
      <c r="Y168" s="541">
        <v>0</v>
      </c>
      <c r="Z168" s="541">
        <v>17737</v>
      </c>
      <c r="AA168" s="541">
        <v>0</v>
      </c>
      <c r="AB168" s="541">
        <v>0</v>
      </c>
      <c r="AC168" s="541">
        <v>0</v>
      </c>
      <c r="AD168" s="541">
        <v>0</v>
      </c>
      <c r="AE168" s="541">
        <v>0</v>
      </c>
      <c r="AF168" s="541">
        <v>0</v>
      </c>
      <c r="AG168" s="541">
        <v>0</v>
      </c>
      <c r="AH168" s="541">
        <v>22120</v>
      </c>
      <c r="AI168" s="541">
        <v>0</v>
      </c>
      <c r="AJ168" s="541">
        <v>0</v>
      </c>
      <c r="AK168" s="541">
        <v>0</v>
      </c>
      <c r="AL168" s="541">
        <v>0</v>
      </c>
      <c r="AM168" s="541">
        <v>0</v>
      </c>
      <c r="AN168" s="541">
        <v>0</v>
      </c>
      <c r="AO168" s="541">
        <v>0</v>
      </c>
      <c r="AP168" s="541">
        <v>0</v>
      </c>
      <c r="AQ168" s="541">
        <v>0</v>
      </c>
      <c r="AR168" s="541">
        <v>1200</v>
      </c>
      <c r="AS168" s="541">
        <v>0</v>
      </c>
      <c r="AT168" s="543">
        <v>6800</v>
      </c>
      <c r="AU168" s="541">
        <v>0</v>
      </c>
      <c r="AV168" s="541">
        <v>3839.0625000000005</v>
      </c>
      <c r="AW168" s="541">
        <v>0</v>
      </c>
      <c r="AX168" s="541">
        <v>8482.5</v>
      </c>
      <c r="AY168" s="541">
        <v>3839.0625000000005</v>
      </c>
      <c r="AZ168" s="541">
        <v>0</v>
      </c>
      <c r="BA168" s="541">
        <v>0</v>
      </c>
      <c r="BB168" s="541">
        <v>0</v>
      </c>
      <c r="BC168" s="544">
        <v>226382.625</v>
      </c>
      <c r="BD168" s="544">
        <v>226382.625</v>
      </c>
      <c r="BE168" s="511"/>
      <c r="BF168" s="565">
        <v>221382.625</v>
      </c>
      <c r="BG168" s="565">
        <v>5000</v>
      </c>
      <c r="BH168" s="565">
        <v>0</v>
      </c>
      <c r="BI168" s="565">
        <v>0</v>
      </c>
      <c r="BJ168" s="565">
        <v>226382.625</v>
      </c>
      <c r="BK168" s="565">
        <v>0</v>
      </c>
      <c r="BL168" s="511"/>
      <c r="BM168" s="565">
        <v>157365</v>
      </c>
      <c r="BN168" s="565">
        <v>0</v>
      </c>
    </row>
    <row r="169" spans="1:66" ht="13.2" x14ac:dyDescent="0.25">
      <c r="A169" s="515" t="s">
        <v>618</v>
      </c>
      <c r="B169" s="517">
        <v>3346</v>
      </c>
      <c r="C169" s="517" t="s">
        <v>434</v>
      </c>
      <c r="D169" s="517" t="s">
        <v>36</v>
      </c>
      <c r="E169" s="518" t="s">
        <v>781</v>
      </c>
      <c r="F169" s="540"/>
      <c r="G169" s="540"/>
      <c r="H169" s="540"/>
      <c r="I169" s="540">
        <v>0</v>
      </c>
      <c r="J169" s="540">
        <v>4000</v>
      </c>
      <c r="K169" s="540">
        <v>4175</v>
      </c>
      <c r="L169" s="541">
        <v>0</v>
      </c>
      <c r="M169" s="541" t="s">
        <v>1476</v>
      </c>
      <c r="N169" s="541">
        <v>0</v>
      </c>
      <c r="O169" s="541">
        <v>0</v>
      </c>
      <c r="P169" s="541">
        <v>0</v>
      </c>
      <c r="Q169" s="541">
        <v>0</v>
      </c>
      <c r="R169" s="541">
        <v>0</v>
      </c>
      <c r="S169" s="542" t="s">
        <v>1476</v>
      </c>
      <c r="T169" s="541">
        <v>30417.5</v>
      </c>
      <c r="U169" s="541">
        <v>30417.5</v>
      </c>
      <c r="V169" s="541">
        <v>30417.5</v>
      </c>
      <c r="W169" s="541">
        <v>30417.5</v>
      </c>
      <c r="X169" s="543" t="s">
        <v>1476</v>
      </c>
      <c r="Y169" s="541">
        <v>0</v>
      </c>
      <c r="Z169" s="541">
        <v>17605</v>
      </c>
      <c r="AA169" s="541">
        <v>0</v>
      </c>
      <c r="AB169" s="541">
        <v>0</v>
      </c>
      <c r="AC169" s="541">
        <v>0</v>
      </c>
      <c r="AD169" s="541">
        <v>0</v>
      </c>
      <c r="AE169" s="541">
        <v>58369.5</v>
      </c>
      <c r="AF169" s="541">
        <v>0</v>
      </c>
      <c r="AG169" s="541">
        <v>0</v>
      </c>
      <c r="AH169" s="541">
        <v>11412</v>
      </c>
      <c r="AI169" s="541">
        <v>0</v>
      </c>
      <c r="AJ169" s="541">
        <v>0</v>
      </c>
      <c r="AK169" s="541">
        <v>0</v>
      </c>
      <c r="AL169" s="541">
        <v>0</v>
      </c>
      <c r="AM169" s="541">
        <v>0</v>
      </c>
      <c r="AN169" s="541">
        <v>0</v>
      </c>
      <c r="AO169" s="541">
        <v>0</v>
      </c>
      <c r="AP169" s="541">
        <v>0</v>
      </c>
      <c r="AQ169" s="541">
        <v>0</v>
      </c>
      <c r="AR169" s="541">
        <v>1200</v>
      </c>
      <c r="AS169" s="541">
        <v>0</v>
      </c>
      <c r="AT169" s="543">
        <v>5800</v>
      </c>
      <c r="AU169" s="541">
        <v>0</v>
      </c>
      <c r="AV169" s="541">
        <v>2894.0625</v>
      </c>
      <c r="AW169" s="541">
        <v>0</v>
      </c>
      <c r="AX169" s="541">
        <v>6525</v>
      </c>
      <c r="AY169" s="541">
        <v>2894.0625</v>
      </c>
      <c r="AZ169" s="541">
        <v>0</v>
      </c>
      <c r="BA169" s="541">
        <v>0</v>
      </c>
      <c r="BB169" s="541">
        <v>0</v>
      </c>
      <c r="BC169" s="544">
        <v>236544.625</v>
      </c>
      <c r="BD169" s="544">
        <v>236544.625</v>
      </c>
      <c r="BE169" s="511"/>
      <c r="BF169" s="565">
        <v>170000.125</v>
      </c>
      <c r="BG169" s="565">
        <v>8175</v>
      </c>
      <c r="BH169" s="565">
        <v>58369.5</v>
      </c>
      <c r="BI169" s="565">
        <v>0</v>
      </c>
      <c r="BJ169" s="565">
        <v>236544.625</v>
      </c>
      <c r="BK169" s="565">
        <v>0</v>
      </c>
      <c r="BL169" s="511"/>
      <c r="BM169" s="565">
        <v>121670</v>
      </c>
      <c r="BN169" s="565">
        <v>0</v>
      </c>
    </row>
    <row r="170" spans="1:66" ht="13.2" x14ac:dyDescent="0.25">
      <c r="A170" s="515" t="s">
        <v>616</v>
      </c>
      <c r="B170" s="517">
        <v>3428</v>
      </c>
      <c r="C170" s="517" t="s">
        <v>436</v>
      </c>
      <c r="D170" s="517" t="s">
        <v>107</v>
      </c>
      <c r="E170" s="518" t="s">
        <v>782</v>
      </c>
      <c r="F170" s="540"/>
      <c r="G170" s="540"/>
      <c r="H170" s="540"/>
      <c r="I170" s="540">
        <v>1959.2525000000001</v>
      </c>
      <c r="J170" s="540">
        <v>2567.402</v>
      </c>
      <c r="K170" s="540">
        <v>11920.5515</v>
      </c>
      <c r="L170" s="541">
        <v>0</v>
      </c>
      <c r="M170" s="541" t="s">
        <v>1476</v>
      </c>
      <c r="N170" s="541">
        <v>0</v>
      </c>
      <c r="O170" s="541">
        <v>0</v>
      </c>
      <c r="P170" s="541">
        <v>0</v>
      </c>
      <c r="Q170" s="541">
        <v>0</v>
      </c>
      <c r="R170" s="541">
        <v>0</v>
      </c>
      <c r="S170" s="542" t="s">
        <v>1476</v>
      </c>
      <c r="T170" s="541">
        <v>27305</v>
      </c>
      <c r="U170" s="541">
        <v>27305</v>
      </c>
      <c r="V170" s="541">
        <v>27305</v>
      </c>
      <c r="W170" s="541">
        <v>27305</v>
      </c>
      <c r="X170" s="543" t="s">
        <v>1476</v>
      </c>
      <c r="Y170" s="541">
        <v>0</v>
      </c>
      <c r="Z170" s="541">
        <v>19524</v>
      </c>
      <c r="AA170" s="541">
        <v>0</v>
      </c>
      <c r="AB170" s="541">
        <v>0</v>
      </c>
      <c r="AC170" s="541">
        <v>0</v>
      </c>
      <c r="AD170" s="541">
        <v>0</v>
      </c>
      <c r="AE170" s="541">
        <v>0</v>
      </c>
      <c r="AF170" s="541">
        <v>0</v>
      </c>
      <c r="AG170" s="541">
        <v>0</v>
      </c>
      <c r="AH170" s="541">
        <v>63856</v>
      </c>
      <c r="AI170" s="541">
        <v>4916</v>
      </c>
      <c r="AJ170" s="541">
        <v>1740</v>
      </c>
      <c r="AK170" s="541">
        <v>0</v>
      </c>
      <c r="AL170" s="541">
        <v>0</v>
      </c>
      <c r="AM170" s="541">
        <v>0</v>
      </c>
      <c r="AN170" s="541">
        <v>0</v>
      </c>
      <c r="AO170" s="541">
        <v>0</v>
      </c>
      <c r="AP170" s="541">
        <v>0</v>
      </c>
      <c r="AQ170" s="541">
        <v>0</v>
      </c>
      <c r="AR170" s="541">
        <v>1200</v>
      </c>
      <c r="AS170" s="541">
        <v>0</v>
      </c>
      <c r="AT170" s="543">
        <v>13530</v>
      </c>
      <c r="AU170" s="541">
        <v>0</v>
      </c>
      <c r="AV170" s="541">
        <v>2539.6875</v>
      </c>
      <c r="AW170" s="541">
        <v>0</v>
      </c>
      <c r="AX170" s="541">
        <v>5800</v>
      </c>
      <c r="AY170" s="541">
        <v>2539.6875</v>
      </c>
      <c r="AZ170" s="541">
        <v>0</v>
      </c>
      <c r="BA170" s="541">
        <v>0</v>
      </c>
      <c r="BB170" s="541">
        <v>0</v>
      </c>
      <c r="BC170" s="544">
        <v>241312.58100000001</v>
      </c>
      <c r="BD170" s="544">
        <v>241312.58100000001</v>
      </c>
      <c r="BE170" s="511"/>
      <c r="BF170" s="565">
        <v>224865.375</v>
      </c>
      <c r="BG170" s="565">
        <v>16447.205999999998</v>
      </c>
      <c r="BH170" s="565">
        <v>0</v>
      </c>
      <c r="BI170" s="565">
        <v>0</v>
      </c>
      <c r="BJ170" s="565">
        <v>241312.58100000001</v>
      </c>
      <c r="BK170" s="565">
        <v>0</v>
      </c>
      <c r="BL170" s="511"/>
      <c r="BM170" s="565">
        <v>109220</v>
      </c>
      <c r="BN170" s="565">
        <v>0</v>
      </c>
    </row>
    <row r="171" spans="1:66" ht="13.2" x14ac:dyDescent="0.25">
      <c r="A171" s="515" t="s">
        <v>614</v>
      </c>
      <c r="B171" s="517">
        <v>3385</v>
      </c>
      <c r="C171" s="517" t="s">
        <v>438</v>
      </c>
      <c r="D171" s="517" t="s">
        <v>36</v>
      </c>
      <c r="E171" s="518" t="s">
        <v>783</v>
      </c>
      <c r="F171" s="540"/>
      <c r="G171" s="540"/>
      <c r="H171" s="540"/>
      <c r="I171" s="540">
        <v>4995.2879166666671</v>
      </c>
      <c r="J171" s="540">
        <v>3996.2303333333339</v>
      </c>
      <c r="K171" s="540">
        <v>9910.5060833333318</v>
      </c>
      <c r="L171" s="541">
        <v>34008.333333333336</v>
      </c>
      <c r="M171" s="541" t="s">
        <v>1476</v>
      </c>
      <c r="N171" s="541">
        <v>0</v>
      </c>
      <c r="O171" s="541">
        <v>0</v>
      </c>
      <c r="P171" s="541">
        <v>0</v>
      </c>
      <c r="Q171" s="541">
        <v>0</v>
      </c>
      <c r="R171" s="541">
        <v>0</v>
      </c>
      <c r="S171" s="542" t="s">
        <v>1476</v>
      </c>
      <c r="T171" s="541">
        <v>28650</v>
      </c>
      <c r="U171" s="541">
        <v>28650</v>
      </c>
      <c r="V171" s="541">
        <v>28650</v>
      </c>
      <c r="W171" s="541">
        <v>28650</v>
      </c>
      <c r="X171" s="543" t="s">
        <v>1476</v>
      </c>
      <c r="Y171" s="541">
        <v>0</v>
      </c>
      <c r="Z171" s="541">
        <v>17795</v>
      </c>
      <c r="AA171" s="541">
        <v>0</v>
      </c>
      <c r="AB171" s="541">
        <v>0</v>
      </c>
      <c r="AC171" s="541">
        <v>0</v>
      </c>
      <c r="AD171" s="541">
        <v>0</v>
      </c>
      <c r="AE171" s="541">
        <v>0</v>
      </c>
      <c r="AF171" s="541">
        <v>0</v>
      </c>
      <c r="AG171" s="541">
        <v>0</v>
      </c>
      <c r="AH171" s="541">
        <v>22342</v>
      </c>
      <c r="AI171" s="541">
        <v>0</v>
      </c>
      <c r="AJ171" s="541">
        <v>0</v>
      </c>
      <c r="AK171" s="541">
        <v>0</v>
      </c>
      <c r="AL171" s="541">
        <v>0</v>
      </c>
      <c r="AM171" s="541">
        <v>0</v>
      </c>
      <c r="AN171" s="541">
        <v>0</v>
      </c>
      <c r="AO171" s="541">
        <v>0</v>
      </c>
      <c r="AP171" s="541">
        <v>0</v>
      </c>
      <c r="AQ171" s="541">
        <v>0</v>
      </c>
      <c r="AR171" s="541">
        <v>1200</v>
      </c>
      <c r="AS171" s="541">
        <v>0</v>
      </c>
      <c r="AT171" s="543">
        <v>7000</v>
      </c>
      <c r="AU171" s="541">
        <v>0</v>
      </c>
      <c r="AV171" s="541">
        <v>2539.6875</v>
      </c>
      <c r="AW171" s="541">
        <v>0</v>
      </c>
      <c r="AX171" s="541">
        <v>6090</v>
      </c>
      <c r="AY171" s="541">
        <v>2539.6875</v>
      </c>
      <c r="AZ171" s="541">
        <v>0</v>
      </c>
      <c r="BA171" s="541">
        <v>0</v>
      </c>
      <c r="BB171" s="541">
        <v>0</v>
      </c>
      <c r="BC171" s="544">
        <v>227016.73266666668</v>
      </c>
      <c r="BD171" s="544">
        <v>227016.73266666668</v>
      </c>
      <c r="BE171" s="511"/>
      <c r="BF171" s="565">
        <v>174106.375</v>
      </c>
      <c r="BG171" s="565">
        <v>52910.35766666667</v>
      </c>
      <c r="BH171" s="565">
        <v>0</v>
      </c>
      <c r="BI171" s="565">
        <v>0</v>
      </c>
      <c r="BJ171" s="565">
        <v>227016.73266666668</v>
      </c>
      <c r="BK171" s="565">
        <v>0</v>
      </c>
      <c r="BL171" s="511"/>
      <c r="BM171" s="565">
        <v>114600</v>
      </c>
      <c r="BN171" s="565">
        <v>0</v>
      </c>
    </row>
    <row r="172" spans="1:66" ht="13.2" x14ac:dyDescent="0.25">
      <c r="A172" s="515" t="s">
        <v>618</v>
      </c>
      <c r="B172" s="517">
        <v>3019</v>
      </c>
      <c r="C172" s="517" t="s">
        <v>440</v>
      </c>
      <c r="D172" s="517" t="s">
        <v>36</v>
      </c>
      <c r="E172" s="518" t="s">
        <v>784</v>
      </c>
      <c r="F172" s="540"/>
      <c r="G172" s="540"/>
      <c r="H172" s="540"/>
      <c r="I172" s="540">
        <v>37126.11</v>
      </c>
      <c r="J172" s="540">
        <v>25399.656666666669</v>
      </c>
      <c r="K172" s="540">
        <v>19166.6345</v>
      </c>
      <c r="L172" s="541">
        <v>4256</v>
      </c>
      <c r="M172" s="541" t="s">
        <v>1476</v>
      </c>
      <c r="N172" s="541">
        <v>0</v>
      </c>
      <c r="O172" s="541">
        <v>0</v>
      </c>
      <c r="P172" s="541">
        <v>0</v>
      </c>
      <c r="Q172" s="541">
        <v>0</v>
      </c>
      <c r="R172" s="541">
        <v>0</v>
      </c>
      <c r="S172" s="542" t="s">
        <v>1476</v>
      </c>
      <c r="T172" s="541">
        <v>57748.75</v>
      </c>
      <c r="U172" s="541">
        <v>57748.75</v>
      </c>
      <c r="V172" s="541">
        <v>57748.75</v>
      </c>
      <c r="W172" s="541">
        <v>57748.75</v>
      </c>
      <c r="X172" s="543" t="s">
        <v>1476</v>
      </c>
      <c r="Y172" s="541">
        <v>0</v>
      </c>
      <c r="Z172" s="541">
        <v>19502</v>
      </c>
      <c r="AA172" s="541">
        <v>0</v>
      </c>
      <c r="AB172" s="541">
        <v>0</v>
      </c>
      <c r="AC172" s="541">
        <v>0</v>
      </c>
      <c r="AD172" s="541">
        <v>0</v>
      </c>
      <c r="AE172" s="541">
        <v>0</v>
      </c>
      <c r="AF172" s="541">
        <v>0</v>
      </c>
      <c r="AG172" s="541">
        <v>0</v>
      </c>
      <c r="AH172" s="541">
        <v>49018</v>
      </c>
      <c r="AI172" s="541">
        <v>0</v>
      </c>
      <c r="AJ172" s="541">
        <v>0</v>
      </c>
      <c r="AK172" s="541">
        <v>0</v>
      </c>
      <c r="AL172" s="541">
        <v>0</v>
      </c>
      <c r="AM172" s="541">
        <v>0</v>
      </c>
      <c r="AN172" s="541">
        <v>0</v>
      </c>
      <c r="AO172" s="541">
        <v>0</v>
      </c>
      <c r="AP172" s="541">
        <v>3416</v>
      </c>
      <c r="AQ172" s="541">
        <v>0</v>
      </c>
      <c r="AR172" s="541">
        <v>1200</v>
      </c>
      <c r="AS172" s="541">
        <v>0</v>
      </c>
      <c r="AT172" s="543">
        <v>13700</v>
      </c>
      <c r="AU172" s="541">
        <v>0</v>
      </c>
      <c r="AV172" s="541">
        <v>5433.75</v>
      </c>
      <c r="AW172" s="541">
        <v>0</v>
      </c>
      <c r="AX172" s="541">
        <v>12397.5</v>
      </c>
      <c r="AY172" s="541">
        <v>5433.75</v>
      </c>
      <c r="AZ172" s="541">
        <v>0</v>
      </c>
      <c r="BA172" s="541">
        <v>0</v>
      </c>
      <c r="BB172" s="541">
        <v>0</v>
      </c>
      <c r="BC172" s="544">
        <v>427044.40116666665</v>
      </c>
      <c r="BD172" s="544">
        <v>427044.40116666665</v>
      </c>
      <c r="BE172" s="511"/>
      <c r="BF172" s="565">
        <v>341096</v>
      </c>
      <c r="BG172" s="565">
        <v>85948.401166666677</v>
      </c>
      <c r="BH172" s="565">
        <v>0</v>
      </c>
      <c r="BI172" s="565">
        <v>0</v>
      </c>
      <c r="BJ172" s="565">
        <v>427044.40116666665</v>
      </c>
      <c r="BK172" s="565">
        <v>0</v>
      </c>
      <c r="BL172" s="511"/>
      <c r="BM172" s="565">
        <v>230995</v>
      </c>
      <c r="BN172" s="565">
        <v>0</v>
      </c>
    </row>
    <row r="173" spans="1:66" ht="13.2" x14ac:dyDescent="0.25">
      <c r="A173" s="515" t="s">
        <v>618</v>
      </c>
      <c r="B173" s="517">
        <v>3365</v>
      </c>
      <c r="C173" s="517" t="s">
        <v>442</v>
      </c>
      <c r="D173" s="517" t="s">
        <v>36</v>
      </c>
      <c r="E173" s="518" t="s">
        <v>785</v>
      </c>
      <c r="F173" s="540"/>
      <c r="G173" s="540"/>
      <c r="H173" s="540"/>
      <c r="I173" s="540">
        <v>4560.7737500000003</v>
      </c>
      <c r="J173" s="540">
        <v>9190.605333333333</v>
      </c>
      <c r="K173" s="540">
        <v>16492.176749999999</v>
      </c>
      <c r="L173" s="541">
        <v>19134.333333333336</v>
      </c>
      <c r="M173" s="541" t="s">
        <v>1476</v>
      </c>
      <c r="N173" s="541">
        <v>0</v>
      </c>
      <c r="O173" s="541">
        <v>0</v>
      </c>
      <c r="P173" s="541">
        <v>0</v>
      </c>
      <c r="Q173" s="541">
        <v>0</v>
      </c>
      <c r="R173" s="541">
        <v>0</v>
      </c>
      <c r="S173" s="542" t="s">
        <v>1476</v>
      </c>
      <c r="T173" s="541">
        <v>14872.5</v>
      </c>
      <c r="U173" s="541">
        <v>14872.5</v>
      </c>
      <c r="V173" s="541">
        <v>14536.25</v>
      </c>
      <c r="W173" s="541">
        <v>13863.75</v>
      </c>
      <c r="X173" s="543" t="s">
        <v>1476</v>
      </c>
      <c r="Y173" s="541">
        <v>0</v>
      </c>
      <c r="Z173" s="541">
        <v>17800</v>
      </c>
      <c r="AA173" s="541">
        <v>0</v>
      </c>
      <c r="AB173" s="541">
        <v>0</v>
      </c>
      <c r="AC173" s="541">
        <v>0</v>
      </c>
      <c r="AD173" s="541">
        <v>0</v>
      </c>
      <c r="AE173" s="541">
        <v>0</v>
      </c>
      <c r="AF173" s="541">
        <v>0</v>
      </c>
      <c r="AG173" s="541">
        <v>0</v>
      </c>
      <c r="AH173" s="541">
        <v>29511</v>
      </c>
      <c r="AI173" s="541">
        <v>0</v>
      </c>
      <c r="AJ173" s="541">
        <v>0</v>
      </c>
      <c r="AK173" s="541">
        <v>0</v>
      </c>
      <c r="AL173" s="541">
        <v>0</v>
      </c>
      <c r="AM173" s="541">
        <v>0</v>
      </c>
      <c r="AN173" s="541">
        <v>0</v>
      </c>
      <c r="AO173" s="541">
        <v>0</v>
      </c>
      <c r="AP173" s="541">
        <v>0</v>
      </c>
      <c r="AQ173" s="541">
        <v>0</v>
      </c>
      <c r="AR173" s="541">
        <v>0</v>
      </c>
      <c r="AS173" s="541">
        <v>0</v>
      </c>
      <c r="AT173" s="543">
        <v>7000</v>
      </c>
      <c r="AU173" s="541">
        <v>0</v>
      </c>
      <c r="AV173" s="541">
        <v>1299.375</v>
      </c>
      <c r="AW173" s="541">
        <v>0</v>
      </c>
      <c r="AX173" s="541">
        <v>2972.5</v>
      </c>
      <c r="AY173" s="541">
        <v>1181.25</v>
      </c>
      <c r="AZ173" s="541">
        <v>0</v>
      </c>
      <c r="BA173" s="541">
        <v>0</v>
      </c>
      <c r="BB173" s="541">
        <v>0</v>
      </c>
      <c r="BC173" s="544">
        <v>167287.01416666666</v>
      </c>
      <c r="BD173" s="544">
        <v>167287.01416666666</v>
      </c>
      <c r="BE173" s="511"/>
      <c r="BF173" s="565">
        <v>117909.125</v>
      </c>
      <c r="BG173" s="565">
        <v>49377.889166666668</v>
      </c>
      <c r="BH173" s="565">
        <v>0</v>
      </c>
      <c r="BI173" s="565">
        <v>0</v>
      </c>
      <c r="BJ173" s="565">
        <v>167287.01416666666</v>
      </c>
      <c r="BK173" s="565">
        <v>0</v>
      </c>
      <c r="BL173" s="511"/>
      <c r="BM173" s="565">
        <v>58145</v>
      </c>
      <c r="BN173" s="565">
        <v>0</v>
      </c>
    </row>
    <row r="174" spans="1:66" ht="13.2" x14ac:dyDescent="0.25">
      <c r="A174" s="515" t="s">
        <v>618</v>
      </c>
      <c r="B174" s="517">
        <v>3310</v>
      </c>
      <c r="C174" s="517" t="s">
        <v>444</v>
      </c>
      <c r="D174" s="517" t="s">
        <v>36</v>
      </c>
      <c r="E174" s="518" t="s">
        <v>786</v>
      </c>
      <c r="F174" s="540"/>
      <c r="G174" s="540"/>
      <c r="H174" s="540"/>
      <c r="I174" s="540">
        <v>12466.999999999998</v>
      </c>
      <c r="J174" s="540">
        <v>2832.2943333333333</v>
      </c>
      <c r="K174" s="540">
        <v>18941.22075</v>
      </c>
      <c r="L174" s="541">
        <v>0</v>
      </c>
      <c r="M174" s="541" t="s">
        <v>1476</v>
      </c>
      <c r="N174" s="541">
        <v>0</v>
      </c>
      <c r="O174" s="541">
        <v>0</v>
      </c>
      <c r="P174" s="541">
        <v>0</v>
      </c>
      <c r="Q174" s="541">
        <v>0</v>
      </c>
      <c r="R174" s="541">
        <v>0</v>
      </c>
      <c r="S174" s="542" t="s">
        <v>1476</v>
      </c>
      <c r="T174" s="541">
        <v>42867.5</v>
      </c>
      <c r="U174" s="541">
        <v>42867.5</v>
      </c>
      <c r="V174" s="541">
        <v>42867.5</v>
      </c>
      <c r="W174" s="541">
        <v>42867.5</v>
      </c>
      <c r="X174" s="543" t="s">
        <v>1476</v>
      </c>
      <c r="Y174" s="541">
        <v>0</v>
      </c>
      <c r="Z174" s="541">
        <v>17753</v>
      </c>
      <c r="AA174" s="541">
        <v>0</v>
      </c>
      <c r="AB174" s="541">
        <v>0</v>
      </c>
      <c r="AC174" s="541">
        <v>0</v>
      </c>
      <c r="AD174" s="541">
        <v>0</v>
      </c>
      <c r="AE174" s="541">
        <v>0</v>
      </c>
      <c r="AF174" s="541">
        <v>0</v>
      </c>
      <c r="AG174" s="541">
        <v>0</v>
      </c>
      <c r="AH174" s="541">
        <v>19841</v>
      </c>
      <c r="AI174" s="541">
        <v>3853</v>
      </c>
      <c r="AJ174" s="541">
        <v>1363</v>
      </c>
      <c r="AK174" s="541">
        <v>0</v>
      </c>
      <c r="AL174" s="541">
        <v>0</v>
      </c>
      <c r="AM174" s="541">
        <v>0</v>
      </c>
      <c r="AN174" s="541">
        <v>0</v>
      </c>
      <c r="AO174" s="541">
        <v>0</v>
      </c>
      <c r="AP174" s="541">
        <v>0</v>
      </c>
      <c r="AQ174" s="541">
        <v>0</v>
      </c>
      <c r="AR174" s="541">
        <v>0</v>
      </c>
      <c r="AS174" s="541">
        <v>0</v>
      </c>
      <c r="AT174" s="543">
        <v>6760</v>
      </c>
      <c r="AU174" s="541">
        <v>0</v>
      </c>
      <c r="AV174" s="541">
        <v>3957.1875000000005</v>
      </c>
      <c r="AW174" s="541">
        <v>0</v>
      </c>
      <c r="AX174" s="541">
        <v>9135</v>
      </c>
      <c r="AY174" s="541">
        <v>3957.1875000000005</v>
      </c>
      <c r="AZ174" s="541">
        <v>0</v>
      </c>
      <c r="BA174" s="541">
        <v>0</v>
      </c>
      <c r="BB174" s="541">
        <v>0</v>
      </c>
      <c r="BC174" s="544">
        <v>272329.89008333336</v>
      </c>
      <c r="BD174" s="544">
        <v>272329.89008333336</v>
      </c>
      <c r="BE174" s="511"/>
      <c r="BF174" s="565">
        <v>238089.375</v>
      </c>
      <c r="BG174" s="565">
        <v>34240.515083333332</v>
      </c>
      <c r="BH174" s="565">
        <v>0</v>
      </c>
      <c r="BI174" s="565">
        <v>0</v>
      </c>
      <c r="BJ174" s="565">
        <v>272329.89008333336</v>
      </c>
      <c r="BK174" s="565">
        <v>0</v>
      </c>
      <c r="BL174" s="511"/>
      <c r="BM174" s="565">
        <v>171470</v>
      </c>
      <c r="BN174" s="565">
        <v>0</v>
      </c>
    </row>
    <row r="175" spans="1:66" s="403" customFormat="1" ht="13.2" x14ac:dyDescent="0.25">
      <c r="A175" s="547" t="s">
        <v>787</v>
      </c>
      <c r="B175" s="548">
        <v>3359</v>
      </c>
      <c r="C175" s="548" t="s">
        <v>446</v>
      </c>
      <c r="D175" s="548" t="s">
        <v>36</v>
      </c>
      <c r="E175" s="549" t="s">
        <v>788</v>
      </c>
      <c r="F175" s="550"/>
      <c r="G175" s="550"/>
      <c r="H175" s="550"/>
      <c r="I175" s="550">
        <v>0</v>
      </c>
      <c r="J175" s="550">
        <v>0</v>
      </c>
      <c r="K175" s="550">
        <v>0</v>
      </c>
      <c r="L175" s="541">
        <v>0</v>
      </c>
      <c r="M175" s="541" t="s">
        <v>1476</v>
      </c>
      <c r="N175" s="541">
        <v>0</v>
      </c>
      <c r="O175" s="541">
        <v>0</v>
      </c>
      <c r="P175" s="541">
        <v>0</v>
      </c>
      <c r="Q175" s="541">
        <v>0</v>
      </c>
      <c r="R175" s="541">
        <v>0</v>
      </c>
      <c r="S175" s="542" t="s">
        <v>1476</v>
      </c>
      <c r="T175" s="541">
        <v>0</v>
      </c>
      <c r="U175" s="541">
        <v>0</v>
      </c>
      <c r="V175" s="541">
        <v>0</v>
      </c>
      <c r="W175" s="541" t="s">
        <v>1476</v>
      </c>
      <c r="X175" s="543" t="s">
        <v>1476</v>
      </c>
      <c r="Y175" s="541">
        <v>0</v>
      </c>
      <c r="Z175" s="541">
        <v>0</v>
      </c>
      <c r="AA175" s="541">
        <v>0</v>
      </c>
      <c r="AB175" s="541">
        <v>0</v>
      </c>
      <c r="AC175" s="541">
        <v>0</v>
      </c>
      <c r="AD175" s="541">
        <v>0</v>
      </c>
      <c r="AE175" s="541">
        <v>0</v>
      </c>
      <c r="AF175" s="541">
        <v>0</v>
      </c>
      <c r="AG175" s="541">
        <v>0</v>
      </c>
      <c r="AH175" s="541">
        <v>0</v>
      </c>
      <c r="AI175" s="541">
        <v>0</v>
      </c>
      <c r="AJ175" s="541">
        <v>0</v>
      </c>
      <c r="AK175" s="541">
        <v>0</v>
      </c>
      <c r="AL175" s="541">
        <v>0</v>
      </c>
      <c r="AM175" s="541">
        <v>0</v>
      </c>
      <c r="AN175" s="541">
        <v>0</v>
      </c>
      <c r="AO175" s="541">
        <v>0</v>
      </c>
      <c r="AP175" s="541">
        <v>0</v>
      </c>
      <c r="AQ175" s="541">
        <v>0</v>
      </c>
      <c r="AR175" s="541">
        <v>0</v>
      </c>
      <c r="AS175" s="541">
        <v>0</v>
      </c>
      <c r="AT175" s="543">
        <v>0</v>
      </c>
      <c r="AU175" s="541">
        <v>0</v>
      </c>
      <c r="AV175" s="541">
        <v>0</v>
      </c>
      <c r="AW175" s="541">
        <v>0</v>
      </c>
      <c r="AX175" s="541">
        <v>0</v>
      </c>
      <c r="AY175" s="541">
        <v>0</v>
      </c>
      <c r="AZ175" s="541">
        <v>0</v>
      </c>
      <c r="BA175" s="541">
        <v>0</v>
      </c>
      <c r="BB175" s="541">
        <v>0</v>
      </c>
      <c r="BC175" s="544">
        <v>0</v>
      </c>
      <c r="BD175" s="544">
        <v>0</v>
      </c>
      <c r="BE175" s="547"/>
      <c r="BF175" s="565">
        <v>0</v>
      </c>
      <c r="BG175" s="565">
        <v>0</v>
      </c>
      <c r="BH175" s="565">
        <v>0</v>
      </c>
      <c r="BI175" s="565">
        <v>0</v>
      </c>
      <c r="BJ175" s="565">
        <v>0</v>
      </c>
      <c r="BK175" s="512">
        <v>0</v>
      </c>
      <c r="BL175" s="514"/>
      <c r="BM175" s="512">
        <v>0</v>
      </c>
      <c r="BN175" s="512">
        <v>0</v>
      </c>
    </row>
    <row r="176" spans="1:66" ht="13.2" x14ac:dyDescent="0.25">
      <c r="A176" s="515" t="s">
        <v>614</v>
      </c>
      <c r="B176" s="517">
        <v>2178</v>
      </c>
      <c r="C176" s="517" t="s">
        <v>448</v>
      </c>
      <c r="D176" s="517" t="s">
        <v>36</v>
      </c>
      <c r="E176" s="518" t="s">
        <v>789</v>
      </c>
      <c r="F176" s="540"/>
      <c r="G176" s="540"/>
      <c r="H176" s="540"/>
      <c r="I176" s="540">
        <v>1352.0833333333335</v>
      </c>
      <c r="J176" s="540">
        <v>1439.3333333333335</v>
      </c>
      <c r="K176" s="540">
        <v>1079.5050000000001</v>
      </c>
      <c r="L176" s="541">
        <v>2918.3333333333335</v>
      </c>
      <c r="M176" s="541" t="s">
        <v>1476</v>
      </c>
      <c r="N176" s="541">
        <v>0</v>
      </c>
      <c r="O176" s="541">
        <v>0</v>
      </c>
      <c r="P176" s="541">
        <v>0</v>
      </c>
      <c r="Q176" s="541">
        <v>0</v>
      </c>
      <c r="R176" s="541">
        <v>0</v>
      </c>
      <c r="S176" s="542" t="s">
        <v>1476</v>
      </c>
      <c r="T176" s="541">
        <v>29667.5</v>
      </c>
      <c r="U176" s="541">
        <v>29667.5</v>
      </c>
      <c r="V176" s="541">
        <v>29667.5</v>
      </c>
      <c r="W176" s="541">
        <v>29667.5</v>
      </c>
      <c r="X176" s="543" t="s">
        <v>1476</v>
      </c>
      <c r="Y176" s="541">
        <v>0</v>
      </c>
      <c r="Z176" s="541">
        <v>17989</v>
      </c>
      <c r="AA176" s="541">
        <v>0</v>
      </c>
      <c r="AB176" s="541">
        <v>0</v>
      </c>
      <c r="AC176" s="541">
        <v>0</v>
      </c>
      <c r="AD176" s="541">
        <v>0</v>
      </c>
      <c r="AE176" s="541">
        <v>0</v>
      </c>
      <c r="AF176" s="541">
        <v>0</v>
      </c>
      <c r="AG176" s="541">
        <v>0</v>
      </c>
      <c r="AH176" s="541">
        <v>16006</v>
      </c>
      <c r="AI176" s="541">
        <v>3056</v>
      </c>
      <c r="AJ176" s="541">
        <v>1082</v>
      </c>
      <c r="AK176" s="541">
        <v>0</v>
      </c>
      <c r="AL176" s="541">
        <v>0</v>
      </c>
      <c r="AM176" s="541">
        <v>0</v>
      </c>
      <c r="AN176" s="541">
        <v>0</v>
      </c>
      <c r="AO176" s="541">
        <v>0</v>
      </c>
      <c r="AP176" s="541">
        <v>0</v>
      </c>
      <c r="AQ176" s="541">
        <v>0</v>
      </c>
      <c r="AR176" s="541">
        <v>0</v>
      </c>
      <c r="AS176" s="541">
        <v>344.49</v>
      </c>
      <c r="AT176" s="543">
        <v>7660</v>
      </c>
      <c r="AU176" s="541">
        <v>0</v>
      </c>
      <c r="AV176" s="541">
        <v>2835</v>
      </c>
      <c r="AW176" s="541">
        <v>0</v>
      </c>
      <c r="AX176" s="541">
        <v>6380</v>
      </c>
      <c r="AY176" s="541">
        <v>2835</v>
      </c>
      <c r="AZ176" s="541">
        <v>0</v>
      </c>
      <c r="BA176" s="541">
        <v>0</v>
      </c>
      <c r="BB176" s="541">
        <v>0</v>
      </c>
      <c r="BC176" s="544">
        <v>183646.745</v>
      </c>
      <c r="BD176" s="544">
        <v>183646.745</v>
      </c>
      <c r="BE176" s="511"/>
      <c r="BF176" s="565">
        <v>176857.49</v>
      </c>
      <c r="BG176" s="565">
        <v>6789.255000000001</v>
      </c>
      <c r="BH176" s="565">
        <v>0</v>
      </c>
      <c r="BI176" s="565">
        <v>0</v>
      </c>
      <c r="BJ176" s="565">
        <v>183646.745</v>
      </c>
      <c r="BK176" s="565">
        <v>0</v>
      </c>
      <c r="BL176" s="511"/>
      <c r="BM176" s="565">
        <v>118670</v>
      </c>
      <c r="BN176" s="565">
        <v>0</v>
      </c>
    </row>
    <row r="177" spans="1:66" ht="13.2" x14ac:dyDescent="0.25">
      <c r="A177" s="515" t="s">
        <v>618</v>
      </c>
      <c r="B177" s="517">
        <v>2184</v>
      </c>
      <c r="C177" s="517" t="s">
        <v>451</v>
      </c>
      <c r="D177" s="517" t="s">
        <v>36</v>
      </c>
      <c r="E177" s="518" t="s">
        <v>790</v>
      </c>
      <c r="F177" s="540"/>
      <c r="G177" s="540"/>
      <c r="H177" s="540"/>
      <c r="I177" s="540">
        <v>8947.5</v>
      </c>
      <c r="J177" s="540">
        <v>3325.3333333333335</v>
      </c>
      <c r="K177" s="540">
        <v>8993.9974999999995</v>
      </c>
      <c r="L177" s="541">
        <v>430</v>
      </c>
      <c r="M177" s="541" t="s">
        <v>1476</v>
      </c>
      <c r="N177" s="541">
        <v>0</v>
      </c>
      <c r="O177" s="541">
        <v>0</v>
      </c>
      <c r="P177" s="541">
        <v>0</v>
      </c>
      <c r="Q177" s="541">
        <v>0</v>
      </c>
      <c r="R177" s="541">
        <v>0</v>
      </c>
      <c r="S177" s="542" t="s">
        <v>1476</v>
      </c>
      <c r="T177" s="541">
        <v>41186.25</v>
      </c>
      <c r="U177" s="541">
        <v>41186.25</v>
      </c>
      <c r="V177" s="541">
        <v>41186.25</v>
      </c>
      <c r="W177" s="541">
        <v>41186.25</v>
      </c>
      <c r="X177" s="543" t="s">
        <v>1476</v>
      </c>
      <c r="Y177" s="541">
        <v>0</v>
      </c>
      <c r="Z177" s="541">
        <v>19513</v>
      </c>
      <c r="AA177" s="541">
        <v>0</v>
      </c>
      <c r="AB177" s="541">
        <v>0</v>
      </c>
      <c r="AC177" s="541">
        <v>0</v>
      </c>
      <c r="AD177" s="541">
        <v>0</v>
      </c>
      <c r="AE177" s="541">
        <v>0</v>
      </c>
      <c r="AF177" s="541">
        <v>0</v>
      </c>
      <c r="AG177" s="541">
        <v>0</v>
      </c>
      <c r="AH177" s="541">
        <v>53242</v>
      </c>
      <c r="AI177" s="541">
        <v>2657</v>
      </c>
      <c r="AJ177" s="541">
        <v>941</v>
      </c>
      <c r="AK177" s="541">
        <v>0</v>
      </c>
      <c r="AL177" s="541">
        <v>0</v>
      </c>
      <c r="AM177" s="541">
        <v>0</v>
      </c>
      <c r="AN177" s="541">
        <v>0</v>
      </c>
      <c r="AO177" s="541">
        <v>0</v>
      </c>
      <c r="AP177" s="541">
        <v>0</v>
      </c>
      <c r="AQ177" s="541">
        <v>0</v>
      </c>
      <c r="AR177" s="541">
        <v>0</v>
      </c>
      <c r="AS177" s="541">
        <v>0</v>
      </c>
      <c r="AT177" s="543">
        <v>13800</v>
      </c>
      <c r="AU177" s="541">
        <v>0</v>
      </c>
      <c r="AV177" s="541">
        <v>3957.1875000000005</v>
      </c>
      <c r="AW177" s="541">
        <v>0</v>
      </c>
      <c r="AX177" s="541">
        <v>8772.5</v>
      </c>
      <c r="AY177" s="541">
        <v>3957.1875000000005</v>
      </c>
      <c r="AZ177" s="541">
        <v>0</v>
      </c>
      <c r="BA177" s="541">
        <v>0</v>
      </c>
      <c r="BB177" s="541">
        <v>0</v>
      </c>
      <c r="BC177" s="544">
        <v>293281.70583333331</v>
      </c>
      <c r="BD177" s="544">
        <v>293281.70583333331</v>
      </c>
      <c r="BE177" s="511"/>
      <c r="BF177" s="565">
        <v>271584.875</v>
      </c>
      <c r="BG177" s="565">
        <v>21696.830833333333</v>
      </c>
      <c r="BH177" s="565">
        <v>0</v>
      </c>
      <c r="BI177" s="565">
        <v>0</v>
      </c>
      <c r="BJ177" s="565">
        <v>293281.70583333331</v>
      </c>
      <c r="BK177" s="565">
        <v>0</v>
      </c>
      <c r="BL177" s="511"/>
      <c r="BM177" s="565">
        <v>164745</v>
      </c>
      <c r="BN177" s="565">
        <v>0</v>
      </c>
    </row>
    <row r="178" spans="1:66" ht="13.2" x14ac:dyDescent="0.25">
      <c r="A178" s="515" t="s">
        <v>616</v>
      </c>
      <c r="B178" s="517">
        <v>2097</v>
      </c>
      <c r="C178" s="517" t="s">
        <v>353</v>
      </c>
      <c r="D178" s="517" t="s">
        <v>36</v>
      </c>
      <c r="E178" s="518" t="s">
        <v>791</v>
      </c>
      <c r="F178" s="540"/>
      <c r="G178" s="540"/>
      <c r="H178" s="540"/>
      <c r="I178" s="540">
        <v>12710.22875</v>
      </c>
      <c r="J178" s="540">
        <v>7605.9163333333336</v>
      </c>
      <c r="K178" s="540">
        <v>10116.186250000001</v>
      </c>
      <c r="L178" s="541">
        <v>0</v>
      </c>
      <c r="M178" s="541" t="s">
        <v>1476</v>
      </c>
      <c r="N178" s="541">
        <v>0</v>
      </c>
      <c r="O178" s="541">
        <v>0</v>
      </c>
      <c r="P178" s="541">
        <v>0</v>
      </c>
      <c r="Q178" s="541">
        <v>0</v>
      </c>
      <c r="R178" s="541">
        <v>0</v>
      </c>
      <c r="S178" s="542" t="s">
        <v>1476</v>
      </c>
      <c r="T178" s="541">
        <v>35711.25</v>
      </c>
      <c r="U178" s="541">
        <v>35711.25</v>
      </c>
      <c r="V178" s="541">
        <v>35711.25</v>
      </c>
      <c r="W178" s="541">
        <v>35711.25</v>
      </c>
      <c r="X178" s="543" t="s">
        <v>1476</v>
      </c>
      <c r="Y178" s="541">
        <v>0</v>
      </c>
      <c r="Z178" s="541">
        <v>17791</v>
      </c>
      <c r="AA178" s="541">
        <v>0</v>
      </c>
      <c r="AB178" s="541">
        <v>0</v>
      </c>
      <c r="AC178" s="541">
        <v>0</v>
      </c>
      <c r="AD178" s="541">
        <v>0</v>
      </c>
      <c r="AE178" s="541">
        <v>0</v>
      </c>
      <c r="AF178" s="541">
        <v>0</v>
      </c>
      <c r="AG178" s="541">
        <v>0</v>
      </c>
      <c r="AH178" s="541">
        <v>22620</v>
      </c>
      <c r="AI178" s="541">
        <v>3322</v>
      </c>
      <c r="AJ178" s="541">
        <v>1176</v>
      </c>
      <c r="AK178" s="541">
        <v>0</v>
      </c>
      <c r="AL178" s="541">
        <v>0</v>
      </c>
      <c r="AM178" s="541">
        <v>0</v>
      </c>
      <c r="AN178" s="541">
        <v>0</v>
      </c>
      <c r="AO178" s="541">
        <v>0</v>
      </c>
      <c r="AP178" s="541">
        <v>0</v>
      </c>
      <c r="AQ178" s="541">
        <v>0</v>
      </c>
      <c r="AR178" s="541">
        <v>0</v>
      </c>
      <c r="AS178" s="541">
        <v>0</v>
      </c>
      <c r="AT178" s="543">
        <v>6960</v>
      </c>
      <c r="AU178" s="541">
        <v>0</v>
      </c>
      <c r="AV178" s="541">
        <v>3425.625</v>
      </c>
      <c r="AW178" s="541">
        <v>0</v>
      </c>
      <c r="AX178" s="541">
        <v>7467.5</v>
      </c>
      <c r="AY178" s="541">
        <v>3425.625</v>
      </c>
      <c r="AZ178" s="541">
        <v>0</v>
      </c>
      <c r="BA178" s="541">
        <v>0</v>
      </c>
      <c r="BB178" s="541">
        <v>0</v>
      </c>
      <c r="BC178" s="544">
        <v>239465.08133333334</v>
      </c>
      <c r="BD178" s="544">
        <v>239465.08133333334</v>
      </c>
      <c r="BE178" s="511"/>
      <c r="BF178" s="565">
        <v>209032.75</v>
      </c>
      <c r="BG178" s="565">
        <v>30432.331333333335</v>
      </c>
      <c r="BH178" s="565">
        <v>0</v>
      </c>
      <c r="BI178" s="565">
        <v>0</v>
      </c>
      <c r="BJ178" s="565">
        <v>239465.08133333334</v>
      </c>
      <c r="BK178" s="565">
        <v>0</v>
      </c>
      <c r="BL178" s="511"/>
      <c r="BM178" s="565">
        <v>142845</v>
      </c>
      <c r="BN178" s="565">
        <v>0</v>
      </c>
    </row>
    <row r="179" spans="1:66" ht="13.2" x14ac:dyDescent="0.25">
      <c r="A179" s="515" t="s">
        <v>618</v>
      </c>
      <c r="B179" s="517">
        <v>2067</v>
      </c>
      <c r="C179" s="517" t="s">
        <v>453</v>
      </c>
      <c r="D179" s="517" t="s">
        <v>36</v>
      </c>
      <c r="E179" s="518" t="s">
        <v>792</v>
      </c>
      <c r="F179" s="540"/>
      <c r="G179" s="540"/>
      <c r="H179" s="540"/>
      <c r="I179" s="540">
        <v>0</v>
      </c>
      <c r="J179" s="540">
        <v>0</v>
      </c>
      <c r="K179" s="540">
        <v>0</v>
      </c>
      <c r="L179" s="541">
        <v>0</v>
      </c>
      <c r="M179" s="541" t="s">
        <v>1476</v>
      </c>
      <c r="N179" s="541">
        <v>0</v>
      </c>
      <c r="O179" s="541">
        <v>0</v>
      </c>
      <c r="P179" s="541">
        <v>0</v>
      </c>
      <c r="Q179" s="541">
        <v>0</v>
      </c>
      <c r="R179" s="541">
        <v>0</v>
      </c>
      <c r="S179" s="542" t="s">
        <v>1476</v>
      </c>
      <c r="T179" s="541">
        <v>62206.25</v>
      </c>
      <c r="U179" s="541">
        <v>62206.25</v>
      </c>
      <c r="V179" s="541">
        <v>62206.25</v>
      </c>
      <c r="W179" s="541">
        <v>62206.25</v>
      </c>
      <c r="X179" s="543" t="s">
        <v>1476</v>
      </c>
      <c r="Y179" s="541">
        <v>0</v>
      </c>
      <c r="Z179" s="541">
        <v>19249</v>
      </c>
      <c r="AA179" s="541">
        <v>0</v>
      </c>
      <c r="AB179" s="541">
        <v>0</v>
      </c>
      <c r="AC179" s="541">
        <v>0</v>
      </c>
      <c r="AD179" s="541">
        <v>0</v>
      </c>
      <c r="AE179" s="541">
        <v>0</v>
      </c>
      <c r="AF179" s="541">
        <v>0</v>
      </c>
      <c r="AG179" s="541">
        <v>0</v>
      </c>
      <c r="AH179" s="541">
        <v>35697</v>
      </c>
      <c r="AI179" s="541">
        <v>5713</v>
      </c>
      <c r="AJ179" s="541">
        <v>2021</v>
      </c>
      <c r="AK179" s="541">
        <v>0</v>
      </c>
      <c r="AL179" s="541">
        <v>0</v>
      </c>
      <c r="AM179" s="541">
        <v>0</v>
      </c>
      <c r="AN179" s="541">
        <v>0</v>
      </c>
      <c r="AO179" s="541">
        <v>0</v>
      </c>
      <c r="AP179" s="541">
        <v>0</v>
      </c>
      <c r="AQ179" s="541">
        <v>0</v>
      </c>
      <c r="AR179" s="541">
        <v>1200</v>
      </c>
      <c r="AS179" s="541">
        <v>0</v>
      </c>
      <c r="AT179" s="543">
        <v>12660</v>
      </c>
      <c r="AU179" s="541">
        <v>0</v>
      </c>
      <c r="AV179" s="541">
        <v>5729.0625</v>
      </c>
      <c r="AW179" s="541">
        <v>0</v>
      </c>
      <c r="AX179" s="541">
        <v>13412.5</v>
      </c>
      <c r="AY179" s="541">
        <v>5729.0625</v>
      </c>
      <c r="AZ179" s="541">
        <v>0</v>
      </c>
      <c r="BA179" s="541">
        <v>0</v>
      </c>
      <c r="BB179" s="541">
        <v>0</v>
      </c>
      <c r="BC179" s="544">
        <v>350235.625</v>
      </c>
      <c r="BD179" s="544">
        <v>350235.625</v>
      </c>
      <c r="BE179" s="511"/>
      <c r="BF179" s="565">
        <v>350235.625</v>
      </c>
      <c r="BG179" s="565">
        <v>0</v>
      </c>
      <c r="BH179" s="565">
        <v>0</v>
      </c>
      <c r="BI179" s="565">
        <v>0</v>
      </c>
      <c r="BJ179" s="565">
        <v>350235.625</v>
      </c>
      <c r="BK179" s="565">
        <v>0</v>
      </c>
      <c r="BL179" s="511"/>
      <c r="BM179" s="565">
        <v>248825</v>
      </c>
      <c r="BN179" s="565">
        <v>0</v>
      </c>
    </row>
    <row r="180" spans="1:66" ht="13.2" x14ac:dyDescent="0.25">
      <c r="A180" s="515" t="s">
        <v>614</v>
      </c>
      <c r="B180" s="517">
        <v>2190</v>
      </c>
      <c r="C180" s="517" t="s">
        <v>455</v>
      </c>
      <c r="D180" s="517" t="s">
        <v>36</v>
      </c>
      <c r="E180" s="518" t="s">
        <v>793</v>
      </c>
      <c r="F180" s="540"/>
      <c r="G180" s="540"/>
      <c r="H180" s="540"/>
      <c r="I180" s="540">
        <v>5350.6804166666661</v>
      </c>
      <c r="J180" s="540">
        <v>6058.1210000000001</v>
      </c>
      <c r="K180" s="540">
        <v>4543.5907499999994</v>
      </c>
      <c r="L180" s="541">
        <v>0</v>
      </c>
      <c r="M180" s="541" t="s">
        <v>1476</v>
      </c>
      <c r="N180" s="541">
        <v>0</v>
      </c>
      <c r="O180" s="541">
        <v>0</v>
      </c>
      <c r="P180" s="541">
        <v>0</v>
      </c>
      <c r="Q180" s="541">
        <v>0</v>
      </c>
      <c r="R180" s="541">
        <v>0</v>
      </c>
      <c r="S180" s="542" t="s">
        <v>1476</v>
      </c>
      <c r="T180" s="541">
        <v>39323.75</v>
      </c>
      <c r="U180" s="541">
        <v>39323.75</v>
      </c>
      <c r="V180" s="541">
        <v>39323.75</v>
      </c>
      <c r="W180" s="541">
        <v>39323.75</v>
      </c>
      <c r="X180" s="543" t="s">
        <v>1476</v>
      </c>
      <c r="Y180" s="541">
        <v>0</v>
      </c>
      <c r="Z180" s="541">
        <v>17570</v>
      </c>
      <c r="AA180" s="541">
        <v>0</v>
      </c>
      <c r="AB180" s="541">
        <v>0</v>
      </c>
      <c r="AC180" s="541">
        <v>0</v>
      </c>
      <c r="AD180" s="541">
        <v>0</v>
      </c>
      <c r="AE180" s="541">
        <v>0</v>
      </c>
      <c r="AF180" s="541">
        <v>0</v>
      </c>
      <c r="AG180" s="541">
        <v>0</v>
      </c>
      <c r="AH180" s="541">
        <v>11152</v>
      </c>
      <c r="AI180" s="541">
        <v>0</v>
      </c>
      <c r="AJ180" s="541">
        <v>0</v>
      </c>
      <c r="AK180" s="541">
        <v>0</v>
      </c>
      <c r="AL180" s="541">
        <v>0</v>
      </c>
      <c r="AM180" s="541">
        <v>0</v>
      </c>
      <c r="AN180" s="541">
        <v>0</v>
      </c>
      <c r="AO180" s="541">
        <v>0</v>
      </c>
      <c r="AP180" s="541">
        <v>3275</v>
      </c>
      <c r="AQ180" s="541">
        <v>0</v>
      </c>
      <c r="AR180" s="541">
        <v>1200</v>
      </c>
      <c r="AS180" s="541">
        <v>0</v>
      </c>
      <c r="AT180" s="543">
        <v>6260</v>
      </c>
      <c r="AU180" s="541">
        <v>0</v>
      </c>
      <c r="AV180" s="541">
        <v>3307.5</v>
      </c>
      <c r="AW180" s="541">
        <v>0</v>
      </c>
      <c r="AX180" s="541">
        <v>8192.5</v>
      </c>
      <c r="AY180" s="541">
        <v>3307.5</v>
      </c>
      <c r="AZ180" s="541">
        <v>0</v>
      </c>
      <c r="BA180" s="541">
        <v>0</v>
      </c>
      <c r="BB180" s="541">
        <v>0</v>
      </c>
      <c r="BC180" s="544">
        <v>227511.89216666666</v>
      </c>
      <c r="BD180" s="544">
        <v>227511.89216666666</v>
      </c>
      <c r="BE180" s="511"/>
      <c r="BF180" s="565">
        <v>211559.5</v>
      </c>
      <c r="BG180" s="565">
        <v>15952.392166666665</v>
      </c>
      <c r="BH180" s="565">
        <v>0</v>
      </c>
      <c r="BI180" s="565">
        <v>0</v>
      </c>
      <c r="BJ180" s="565">
        <v>227511.89216666666</v>
      </c>
      <c r="BK180" s="565">
        <v>0</v>
      </c>
      <c r="BL180" s="511"/>
      <c r="BM180" s="565">
        <v>157295</v>
      </c>
      <c r="BN180" s="565">
        <v>0</v>
      </c>
    </row>
    <row r="181" spans="1:66" ht="13.2" x14ac:dyDescent="0.25">
      <c r="A181" s="515" t="s">
        <v>618</v>
      </c>
      <c r="B181" s="517">
        <v>2192</v>
      </c>
      <c r="C181" s="517" t="s">
        <v>457</v>
      </c>
      <c r="D181" s="517" t="s">
        <v>36</v>
      </c>
      <c r="E181" s="518" t="s">
        <v>794</v>
      </c>
      <c r="F181" s="540"/>
      <c r="G181" s="540"/>
      <c r="H181" s="540"/>
      <c r="I181" s="540">
        <v>7108.2291666666661</v>
      </c>
      <c r="J181" s="540">
        <v>11401.018</v>
      </c>
      <c r="K181" s="540">
        <v>9080.0779999999995</v>
      </c>
      <c r="L181" s="541">
        <v>0</v>
      </c>
      <c r="M181" s="541" t="s">
        <v>1476</v>
      </c>
      <c r="N181" s="541">
        <v>0</v>
      </c>
      <c r="O181" s="541">
        <v>0</v>
      </c>
      <c r="P181" s="541">
        <v>0</v>
      </c>
      <c r="Q181" s="541">
        <v>0</v>
      </c>
      <c r="R181" s="541">
        <v>0</v>
      </c>
      <c r="S181" s="542" t="s">
        <v>1476</v>
      </c>
      <c r="T181" s="541">
        <v>84735</v>
      </c>
      <c r="U181" s="541">
        <v>84735</v>
      </c>
      <c r="V181" s="541">
        <v>84735</v>
      </c>
      <c r="W181" s="541">
        <v>84735</v>
      </c>
      <c r="X181" s="543" t="s">
        <v>1476</v>
      </c>
      <c r="Y181" s="541">
        <v>0</v>
      </c>
      <c r="Z181" s="541">
        <v>21820</v>
      </c>
      <c r="AA181" s="541">
        <v>0</v>
      </c>
      <c r="AB181" s="541">
        <v>0</v>
      </c>
      <c r="AC181" s="541">
        <v>0</v>
      </c>
      <c r="AD181" s="541">
        <v>0</v>
      </c>
      <c r="AE181" s="541">
        <v>0</v>
      </c>
      <c r="AF181" s="541">
        <v>0</v>
      </c>
      <c r="AG181" s="541">
        <v>0</v>
      </c>
      <c r="AH181" s="541">
        <v>0</v>
      </c>
      <c r="AI181" s="541">
        <v>0</v>
      </c>
      <c r="AJ181" s="541">
        <v>0</v>
      </c>
      <c r="AK181" s="541">
        <v>0</v>
      </c>
      <c r="AL181" s="541">
        <v>0</v>
      </c>
      <c r="AM181" s="541">
        <v>0</v>
      </c>
      <c r="AN181" s="541">
        <v>0</v>
      </c>
      <c r="AO181" s="541">
        <v>0</v>
      </c>
      <c r="AP181" s="541">
        <v>0</v>
      </c>
      <c r="AQ181" s="541">
        <v>0</v>
      </c>
      <c r="AR181" s="541">
        <v>1200</v>
      </c>
      <c r="AS181" s="541">
        <v>0</v>
      </c>
      <c r="AT181" s="543">
        <v>18930</v>
      </c>
      <c r="AU181" s="541">
        <v>0</v>
      </c>
      <c r="AV181" s="541">
        <v>8918.4375</v>
      </c>
      <c r="AW181" s="541">
        <v>0</v>
      </c>
      <c r="AX181" s="541">
        <v>18270</v>
      </c>
      <c r="AY181" s="541">
        <v>8918.4375</v>
      </c>
      <c r="AZ181" s="541">
        <v>0</v>
      </c>
      <c r="BA181" s="541">
        <v>0</v>
      </c>
      <c r="BB181" s="541">
        <v>0</v>
      </c>
      <c r="BC181" s="544">
        <v>444586.20016666665</v>
      </c>
      <c r="BD181" s="544">
        <v>444586.20016666665</v>
      </c>
      <c r="BE181" s="511"/>
      <c r="BF181" s="565">
        <v>416996.875</v>
      </c>
      <c r="BG181" s="565">
        <v>27589.325166666669</v>
      </c>
      <c r="BH181" s="565">
        <v>0</v>
      </c>
      <c r="BI181" s="565">
        <v>0</v>
      </c>
      <c r="BJ181" s="565">
        <v>444586.20016666665</v>
      </c>
      <c r="BK181" s="565">
        <v>0</v>
      </c>
      <c r="BL181" s="511"/>
      <c r="BM181" s="565">
        <v>338940</v>
      </c>
      <c r="BN181" s="565">
        <v>0</v>
      </c>
    </row>
    <row r="182" spans="1:66" ht="13.2" x14ac:dyDescent="0.25">
      <c r="A182" s="515" t="s">
        <v>616</v>
      </c>
      <c r="B182" s="517">
        <v>5203</v>
      </c>
      <c r="C182" s="517" t="s">
        <v>459</v>
      </c>
      <c r="D182" s="517" t="s">
        <v>107</v>
      </c>
      <c r="E182" s="518" t="s">
        <v>795</v>
      </c>
      <c r="F182" s="540"/>
      <c r="G182" s="540"/>
      <c r="H182" s="540"/>
      <c r="I182" s="540">
        <v>8236.1749999999993</v>
      </c>
      <c r="J182" s="540">
        <v>6588.9400000000005</v>
      </c>
      <c r="K182" s="540">
        <v>4941.7049999999999</v>
      </c>
      <c r="L182" s="541">
        <v>12000</v>
      </c>
      <c r="M182" s="541" t="s">
        <v>1476</v>
      </c>
      <c r="N182" s="541">
        <v>0</v>
      </c>
      <c r="O182" s="541">
        <v>0</v>
      </c>
      <c r="P182" s="541">
        <v>0</v>
      </c>
      <c r="Q182" s="541">
        <v>0</v>
      </c>
      <c r="R182" s="541">
        <v>0</v>
      </c>
      <c r="S182" s="542" t="s">
        <v>1476</v>
      </c>
      <c r="T182" s="541">
        <v>9742.5</v>
      </c>
      <c r="U182" s="541">
        <v>9742.5</v>
      </c>
      <c r="V182" s="541">
        <v>9742.5</v>
      </c>
      <c r="W182" s="541">
        <v>9742.5</v>
      </c>
      <c r="X182" s="543" t="s">
        <v>1476</v>
      </c>
      <c r="Y182" s="541">
        <v>0</v>
      </c>
      <c r="Z182" s="541">
        <v>17814</v>
      </c>
      <c r="AA182" s="541">
        <v>0</v>
      </c>
      <c r="AB182" s="541">
        <v>0</v>
      </c>
      <c r="AC182" s="541">
        <v>0</v>
      </c>
      <c r="AD182" s="541">
        <v>0</v>
      </c>
      <c r="AE182" s="541">
        <v>0</v>
      </c>
      <c r="AF182" s="541">
        <v>0</v>
      </c>
      <c r="AG182" s="541">
        <v>0</v>
      </c>
      <c r="AH182" s="541">
        <v>97312</v>
      </c>
      <c r="AI182" s="541">
        <v>6909</v>
      </c>
      <c r="AJ182" s="541">
        <v>2445</v>
      </c>
      <c r="AK182" s="541">
        <v>0</v>
      </c>
      <c r="AL182" s="541">
        <v>0</v>
      </c>
      <c r="AM182" s="541">
        <v>0</v>
      </c>
      <c r="AN182" s="541">
        <v>0</v>
      </c>
      <c r="AO182" s="541">
        <v>0</v>
      </c>
      <c r="AP182" s="541">
        <v>0</v>
      </c>
      <c r="AQ182" s="541">
        <v>0</v>
      </c>
      <c r="AR182" s="541">
        <v>0</v>
      </c>
      <c r="AS182" s="541">
        <v>0</v>
      </c>
      <c r="AT182" s="543">
        <v>9000</v>
      </c>
      <c r="AU182" s="541">
        <v>0</v>
      </c>
      <c r="AV182" s="541">
        <v>649.6875</v>
      </c>
      <c r="AW182" s="541">
        <v>0</v>
      </c>
      <c r="AX182" s="541">
        <v>1885</v>
      </c>
      <c r="AY182" s="541">
        <v>649.6875</v>
      </c>
      <c r="AZ182" s="541">
        <v>0</v>
      </c>
      <c r="BA182" s="541">
        <v>0</v>
      </c>
      <c r="BB182" s="541">
        <v>0</v>
      </c>
      <c r="BC182" s="544">
        <v>207401.19500000001</v>
      </c>
      <c r="BD182" s="544">
        <v>207401.19500000001</v>
      </c>
      <c r="BE182" s="511"/>
      <c r="BF182" s="565">
        <v>175634.375</v>
      </c>
      <c r="BG182" s="565">
        <v>31766.82</v>
      </c>
      <c r="BH182" s="565">
        <v>0</v>
      </c>
      <c r="BI182" s="565">
        <v>0</v>
      </c>
      <c r="BJ182" s="565">
        <v>207401.19500000001</v>
      </c>
      <c r="BK182" s="565">
        <v>0</v>
      </c>
      <c r="BL182" s="511"/>
      <c r="BM182" s="565">
        <v>38970</v>
      </c>
      <c r="BN182" s="565">
        <v>0</v>
      </c>
    </row>
    <row r="183" spans="1:66" ht="13.2" x14ac:dyDescent="0.25">
      <c r="A183" s="515" t="s">
        <v>616</v>
      </c>
      <c r="B183" s="517">
        <v>5202</v>
      </c>
      <c r="C183" s="517" t="s">
        <v>461</v>
      </c>
      <c r="D183" s="517" t="s">
        <v>107</v>
      </c>
      <c r="E183" s="518" t="s">
        <v>796</v>
      </c>
      <c r="F183" s="540"/>
      <c r="G183" s="540"/>
      <c r="H183" s="540"/>
      <c r="I183" s="540">
        <v>14750.529583333333</v>
      </c>
      <c r="J183" s="540">
        <v>16346.837666666666</v>
      </c>
      <c r="K183" s="540">
        <v>7503.4115000000002</v>
      </c>
      <c r="L183" s="541">
        <v>24282.666666666664</v>
      </c>
      <c r="M183" s="541" t="s">
        <v>1476</v>
      </c>
      <c r="N183" s="541">
        <v>0</v>
      </c>
      <c r="O183" s="541">
        <v>0</v>
      </c>
      <c r="P183" s="541">
        <v>0</v>
      </c>
      <c r="Q183" s="541">
        <v>0</v>
      </c>
      <c r="R183" s="541">
        <v>0</v>
      </c>
      <c r="S183" s="542" t="s">
        <v>1476</v>
      </c>
      <c r="T183" s="541">
        <v>11510</v>
      </c>
      <c r="U183" s="541">
        <v>11510</v>
      </c>
      <c r="V183" s="541">
        <v>11510</v>
      </c>
      <c r="W183" s="541">
        <v>11510</v>
      </c>
      <c r="X183" s="543" t="s">
        <v>1476</v>
      </c>
      <c r="Y183" s="541">
        <v>0</v>
      </c>
      <c r="Z183" s="541">
        <v>19590</v>
      </c>
      <c r="AA183" s="541">
        <v>0</v>
      </c>
      <c r="AB183" s="541">
        <v>0</v>
      </c>
      <c r="AC183" s="541">
        <v>0</v>
      </c>
      <c r="AD183" s="541">
        <v>0</v>
      </c>
      <c r="AE183" s="541">
        <v>0</v>
      </c>
      <c r="AF183" s="541">
        <v>0</v>
      </c>
      <c r="AG183" s="541">
        <v>0</v>
      </c>
      <c r="AH183" s="541">
        <v>0</v>
      </c>
      <c r="AI183" s="541">
        <v>0</v>
      </c>
      <c r="AJ183" s="541">
        <v>0</v>
      </c>
      <c r="AK183" s="541">
        <v>0</v>
      </c>
      <c r="AL183" s="541">
        <v>0</v>
      </c>
      <c r="AM183" s="541">
        <v>0</v>
      </c>
      <c r="AN183" s="541">
        <v>0</v>
      </c>
      <c r="AO183" s="541">
        <v>0</v>
      </c>
      <c r="AP183" s="541">
        <v>3255</v>
      </c>
      <c r="AQ183" s="541">
        <v>0</v>
      </c>
      <c r="AR183" s="541">
        <v>0</v>
      </c>
      <c r="AS183" s="541">
        <v>0</v>
      </c>
      <c r="AT183" s="543">
        <v>12000</v>
      </c>
      <c r="AU183" s="541">
        <v>0</v>
      </c>
      <c r="AV183" s="541">
        <v>1122.1875</v>
      </c>
      <c r="AW183" s="541">
        <v>0</v>
      </c>
      <c r="AX183" s="541">
        <v>2320</v>
      </c>
      <c r="AY183" s="541">
        <v>1122.1875</v>
      </c>
      <c r="AZ183" s="541">
        <v>0</v>
      </c>
      <c r="BA183" s="541">
        <v>0</v>
      </c>
      <c r="BB183" s="541">
        <v>0</v>
      </c>
      <c r="BC183" s="544">
        <v>148332.82041666665</v>
      </c>
      <c r="BD183" s="544">
        <v>148332.82041666665</v>
      </c>
      <c r="BE183" s="511"/>
      <c r="BF183" s="565">
        <v>85449.375</v>
      </c>
      <c r="BG183" s="565">
        <v>62883.445416666662</v>
      </c>
      <c r="BH183" s="565">
        <v>0</v>
      </c>
      <c r="BI183" s="565">
        <v>0</v>
      </c>
      <c r="BJ183" s="565">
        <v>148332.82041666665</v>
      </c>
      <c r="BK183" s="565">
        <v>0</v>
      </c>
      <c r="BL183" s="511"/>
      <c r="BM183" s="565">
        <v>46040</v>
      </c>
      <c r="BN183" s="565">
        <v>0</v>
      </c>
    </row>
    <row r="184" spans="1:66" ht="13.2" x14ac:dyDescent="0.25">
      <c r="A184" s="515" t="s">
        <v>618</v>
      </c>
      <c r="B184" s="517">
        <v>2108</v>
      </c>
      <c r="C184" s="517" t="s">
        <v>463</v>
      </c>
      <c r="D184" s="517" t="s">
        <v>36</v>
      </c>
      <c r="E184" s="518" t="s">
        <v>797</v>
      </c>
      <c r="F184" s="540"/>
      <c r="G184" s="540"/>
      <c r="H184" s="540"/>
      <c r="I184" s="540">
        <v>23681.416666666668</v>
      </c>
      <c r="J184" s="540">
        <v>19130.729333333333</v>
      </c>
      <c r="K184" s="540">
        <v>22977.308999999997</v>
      </c>
      <c r="L184" s="541">
        <v>43575.333333333336</v>
      </c>
      <c r="M184" s="541" t="s">
        <v>1476</v>
      </c>
      <c r="N184" s="541">
        <v>0</v>
      </c>
      <c r="O184" s="541">
        <v>0</v>
      </c>
      <c r="P184" s="541">
        <v>0</v>
      </c>
      <c r="Q184" s="541">
        <v>0</v>
      </c>
      <c r="R184" s="541">
        <v>0</v>
      </c>
      <c r="S184" s="542" t="s">
        <v>1476</v>
      </c>
      <c r="T184" s="541">
        <v>113652.5</v>
      </c>
      <c r="U184" s="541">
        <v>113652.5</v>
      </c>
      <c r="V184" s="541">
        <v>113652.5</v>
      </c>
      <c r="W184" s="541">
        <v>113652.5</v>
      </c>
      <c r="X184" s="543" t="s">
        <v>1476</v>
      </c>
      <c r="Y184" s="541">
        <v>0</v>
      </c>
      <c r="Z184" s="541">
        <v>23255</v>
      </c>
      <c r="AA184" s="541">
        <v>0</v>
      </c>
      <c r="AB184" s="541">
        <v>0</v>
      </c>
      <c r="AC184" s="541">
        <v>0</v>
      </c>
      <c r="AD184" s="541">
        <v>0</v>
      </c>
      <c r="AE184" s="541">
        <v>0</v>
      </c>
      <c r="AF184" s="541">
        <v>0</v>
      </c>
      <c r="AG184" s="541">
        <v>0</v>
      </c>
      <c r="AH184" s="541">
        <v>97368</v>
      </c>
      <c r="AI184" s="541">
        <v>11957</v>
      </c>
      <c r="AJ184" s="541">
        <v>4232</v>
      </c>
      <c r="AK184" s="541">
        <v>0</v>
      </c>
      <c r="AL184" s="541">
        <v>0</v>
      </c>
      <c r="AM184" s="541">
        <v>0</v>
      </c>
      <c r="AN184" s="541">
        <v>0</v>
      </c>
      <c r="AO184" s="541">
        <v>0</v>
      </c>
      <c r="AP184" s="541">
        <v>0</v>
      </c>
      <c r="AQ184" s="541">
        <v>0</v>
      </c>
      <c r="AR184" s="541">
        <v>0</v>
      </c>
      <c r="AS184" s="541">
        <v>0</v>
      </c>
      <c r="AT184" s="543">
        <v>28030</v>
      </c>
      <c r="AU184" s="541">
        <v>0</v>
      </c>
      <c r="AV184" s="541">
        <v>11044.6875</v>
      </c>
      <c r="AW184" s="541">
        <v>0</v>
      </c>
      <c r="AX184" s="541">
        <v>24505</v>
      </c>
      <c r="AY184" s="541">
        <v>11044.6875</v>
      </c>
      <c r="AZ184" s="541">
        <v>0</v>
      </c>
      <c r="BA184" s="541">
        <v>0</v>
      </c>
      <c r="BB184" s="541">
        <v>0</v>
      </c>
      <c r="BC184" s="544">
        <v>775411.16333333333</v>
      </c>
      <c r="BD184" s="544">
        <v>775411.16333333333</v>
      </c>
      <c r="BE184" s="511"/>
      <c r="BF184" s="565">
        <v>666046.375</v>
      </c>
      <c r="BG184" s="565">
        <v>109364.78833333333</v>
      </c>
      <c r="BH184" s="565">
        <v>0</v>
      </c>
      <c r="BI184" s="565">
        <v>0</v>
      </c>
      <c r="BJ184" s="565">
        <v>775411.16333333333</v>
      </c>
      <c r="BK184" s="565">
        <v>0</v>
      </c>
      <c r="BL184" s="511"/>
      <c r="BM184" s="565">
        <v>454610</v>
      </c>
      <c r="BN184" s="565">
        <v>0</v>
      </c>
    </row>
    <row r="185" spans="1:66" ht="13.2" x14ac:dyDescent="0.25">
      <c r="A185" s="515" t="s">
        <v>618</v>
      </c>
      <c r="B185" s="517">
        <v>2306</v>
      </c>
      <c r="C185" s="517" t="s">
        <v>465</v>
      </c>
      <c r="D185" s="517" t="s">
        <v>36</v>
      </c>
      <c r="E185" s="518" t="s">
        <v>798</v>
      </c>
      <c r="F185" s="540"/>
      <c r="G185" s="540"/>
      <c r="H185" s="540"/>
      <c r="I185" s="540">
        <v>7927.3750000000018</v>
      </c>
      <c r="J185" s="540">
        <v>6341.9000000000015</v>
      </c>
      <c r="K185" s="540">
        <v>8756.4274999999998</v>
      </c>
      <c r="L185" s="541">
        <v>12219.996666666666</v>
      </c>
      <c r="M185" s="541" t="s">
        <v>1476</v>
      </c>
      <c r="N185" s="541">
        <v>0</v>
      </c>
      <c r="O185" s="541">
        <v>0</v>
      </c>
      <c r="P185" s="541">
        <v>0</v>
      </c>
      <c r="Q185" s="541">
        <v>0</v>
      </c>
      <c r="R185" s="541">
        <v>0</v>
      </c>
      <c r="S185" s="542" t="s">
        <v>1476</v>
      </c>
      <c r="T185" s="541">
        <v>28245</v>
      </c>
      <c r="U185" s="541">
        <v>28245</v>
      </c>
      <c r="V185" s="541">
        <v>28245</v>
      </c>
      <c r="W185" s="541">
        <v>28245</v>
      </c>
      <c r="X185" s="543" t="s">
        <v>1476</v>
      </c>
      <c r="Y185" s="541">
        <v>0</v>
      </c>
      <c r="Z185" s="541">
        <v>17606</v>
      </c>
      <c r="AA185" s="541">
        <v>0</v>
      </c>
      <c r="AB185" s="541">
        <v>0</v>
      </c>
      <c r="AC185" s="541">
        <v>0</v>
      </c>
      <c r="AD185" s="541">
        <v>0</v>
      </c>
      <c r="AE185" s="541">
        <v>0</v>
      </c>
      <c r="AF185" s="541">
        <v>0</v>
      </c>
      <c r="AG185" s="541">
        <v>0</v>
      </c>
      <c r="AH185" s="541">
        <v>13802</v>
      </c>
      <c r="AI185" s="541">
        <v>0</v>
      </c>
      <c r="AJ185" s="541">
        <v>0</v>
      </c>
      <c r="AK185" s="541">
        <v>0</v>
      </c>
      <c r="AL185" s="541">
        <v>0</v>
      </c>
      <c r="AM185" s="541">
        <v>0</v>
      </c>
      <c r="AN185" s="541">
        <v>0</v>
      </c>
      <c r="AO185" s="541">
        <v>0</v>
      </c>
      <c r="AP185" s="541">
        <v>0</v>
      </c>
      <c r="AQ185" s="541">
        <v>0</v>
      </c>
      <c r="AR185" s="541">
        <v>0</v>
      </c>
      <c r="AS185" s="541">
        <v>0</v>
      </c>
      <c r="AT185" s="543">
        <v>6230</v>
      </c>
      <c r="AU185" s="541">
        <v>0</v>
      </c>
      <c r="AV185" s="541">
        <v>2775.9375</v>
      </c>
      <c r="AW185" s="541">
        <v>0</v>
      </c>
      <c r="AX185" s="541">
        <v>6090</v>
      </c>
      <c r="AY185" s="541">
        <v>2775.9375</v>
      </c>
      <c r="AZ185" s="541">
        <v>0</v>
      </c>
      <c r="BA185" s="541">
        <v>0</v>
      </c>
      <c r="BB185" s="541">
        <v>0</v>
      </c>
      <c r="BC185" s="544">
        <v>197505.57416666666</v>
      </c>
      <c r="BD185" s="544">
        <v>197505.57416666666</v>
      </c>
      <c r="BE185" s="511"/>
      <c r="BF185" s="565">
        <v>162259.875</v>
      </c>
      <c r="BG185" s="565">
        <v>35245.699166666673</v>
      </c>
      <c r="BH185" s="565">
        <v>0</v>
      </c>
      <c r="BI185" s="565">
        <v>0</v>
      </c>
      <c r="BJ185" s="565">
        <v>197505.57416666666</v>
      </c>
      <c r="BK185" s="565">
        <v>0</v>
      </c>
      <c r="BL185" s="511"/>
      <c r="BM185" s="565">
        <v>112980</v>
      </c>
      <c r="BN185" s="565">
        <v>0</v>
      </c>
    </row>
    <row r="186" spans="1:66" ht="13.2" x14ac:dyDescent="0.25">
      <c r="A186" s="515" t="s">
        <v>614</v>
      </c>
      <c r="B186" s="517">
        <v>2482</v>
      </c>
      <c r="C186" s="517" t="s">
        <v>467</v>
      </c>
      <c r="D186" s="517" t="s">
        <v>36</v>
      </c>
      <c r="E186" s="518" t="s">
        <v>799</v>
      </c>
      <c r="F186" s="540"/>
      <c r="G186" s="540"/>
      <c r="H186" s="540"/>
      <c r="I186" s="540">
        <v>3707.0053264323483</v>
      </c>
      <c r="J186" s="540">
        <v>1608.2709278125453</v>
      </c>
      <c r="K186" s="540">
        <v>5217.9401666666663</v>
      </c>
      <c r="L186" s="541">
        <v>0</v>
      </c>
      <c r="M186" s="541" t="s">
        <v>1476</v>
      </c>
      <c r="N186" s="541">
        <v>0</v>
      </c>
      <c r="O186" s="541">
        <v>0</v>
      </c>
      <c r="P186" s="541">
        <v>0</v>
      </c>
      <c r="Q186" s="541">
        <v>0</v>
      </c>
      <c r="R186" s="541">
        <v>0</v>
      </c>
      <c r="S186" s="542" t="s">
        <v>1476</v>
      </c>
      <c r="T186" s="541">
        <v>61870</v>
      </c>
      <c r="U186" s="541">
        <v>61870</v>
      </c>
      <c r="V186" s="541">
        <v>63215</v>
      </c>
      <c r="W186" s="541">
        <v>65905</v>
      </c>
      <c r="X186" s="543" t="s">
        <v>1476</v>
      </c>
      <c r="Y186" s="541">
        <v>0</v>
      </c>
      <c r="Z186" s="541">
        <v>19600</v>
      </c>
      <c r="AA186" s="541">
        <v>0</v>
      </c>
      <c r="AB186" s="541">
        <v>0</v>
      </c>
      <c r="AC186" s="541">
        <v>0</v>
      </c>
      <c r="AD186" s="541">
        <v>0</v>
      </c>
      <c r="AE186" s="541">
        <v>0</v>
      </c>
      <c r="AF186" s="541">
        <v>0</v>
      </c>
      <c r="AG186" s="541">
        <v>0</v>
      </c>
      <c r="AH186" s="541">
        <v>32752</v>
      </c>
      <c r="AI186" s="541">
        <v>6377</v>
      </c>
      <c r="AJ186" s="541">
        <v>2257</v>
      </c>
      <c r="AK186" s="541">
        <v>0</v>
      </c>
      <c r="AL186" s="541">
        <v>0</v>
      </c>
      <c r="AM186" s="541">
        <v>0</v>
      </c>
      <c r="AN186" s="541">
        <v>0</v>
      </c>
      <c r="AO186" s="541">
        <v>0</v>
      </c>
      <c r="AP186" s="541">
        <v>0</v>
      </c>
      <c r="AQ186" s="541">
        <v>0</v>
      </c>
      <c r="AR186" s="541">
        <v>0</v>
      </c>
      <c r="AS186" s="541">
        <v>0</v>
      </c>
      <c r="AT186" s="543">
        <v>13360</v>
      </c>
      <c r="AU186" s="541">
        <v>0</v>
      </c>
      <c r="AV186" s="541">
        <v>5610.9375</v>
      </c>
      <c r="AW186" s="541">
        <v>0</v>
      </c>
      <c r="AX186" s="541">
        <v>13630</v>
      </c>
      <c r="AY186" s="541">
        <v>5847.1875</v>
      </c>
      <c r="AZ186" s="541">
        <v>0</v>
      </c>
      <c r="BA186" s="541">
        <v>0</v>
      </c>
      <c r="BB186" s="541">
        <v>0</v>
      </c>
      <c r="BC186" s="544">
        <v>362827.34142091154</v>
      </c>
      <c r="BD186" s="544">
        <v>362827.34142091154</v>
      </c>
      <c r="BE186" s="511"/>
      <c r="BF186" s="565">
        <v>352294.125</v>
      </c>
      <c r="BG186" s="565">
        <v>10533.21642091156</v>
      </c>
      <c r="BH186" s="565">
        <v>0</v>
      </c>
      <c r="BI186" s="565">
        <v>0</v>
      </c>
      <c r="BJ186" s="565">
        <v>362827.34142091154</v>
      </c>
      <c r="BK186" s="565">
        <v>0</v>
      </c>
      <c r="BL186" s="511"/>
      <c r="BM186" s="565">
        <v>252860</v>
      </c>
      <c r="BN186" s="565">
        <v>0</v>
      </c>
    </row>
    <row r="187" spans="1:66" ht="13.2" x14ac:dyDescent="0.25">
      <c r="A187" s="515" t="s">
        <v>616</v>
      </c>
      <c r="B187" s="517">
        <v>2308</v>
      </c>
      <c r="C187" s="517" t="s">
        <v>469</v>
      </c>
      <c r="D187" s="517" t="s">
        <v>107</v>
      </c>
      <c r="E187" s="518" t="s">
        <v>800</v>
      </c>
      <c r="F187" s="540"/>
      <c r="G187" s="540"/>
      <c r="H187" s="540"/>
      <c r="I187" s="540">
        <v>7145</v>
      </c>
      <c r="J187" s="540">
        <v>18426</v>
      </c>
      <c r="K187" s="540">
        <v>16354.464250000001</v>
      </c>
      <c r="L187" s="541">
        <v>0</v>
      </c>
      <c r="M187" s="541" t="s">
        <v>1476</v>
      </c>
      <c r="N187" s="541">
        <v>0</v>
      </c>
      <c r="O187" s="541">
        <v>0</v>
      </c>
      <c r="P187" s="541">
        <v>0</v>
      </c>
      <c r="Q187" s="541">
        <v>21786.196840925724</v>
      </c>
      <c r="R187" s="541">
        <v>17428.957472740578</v>
      </c>
      <c r="S187" s="542">
        <v>13072.09</v>
      </c>
      <c r="T187" s="541">
        <v>67250</v>
      </c>
      <c r="U187" s="541">
        <v>67250</v>
      </c>
      <c r="V187" s="541">
        <v>67250</v>
      </c>
      <c r="W187" s="541">
        <v>67250</v>
      </c>
      <c r="X187" s="543" t="s">
        <v>1476</v>
      </c>
      <c r="Y187" s="541">
        <v>0</v>
      </c>
      <c r="Z187" s="541">
        <v>19484</v>
      </c>
      <c r="AA187" s="541">
        <v>0</v>
      </c>
      <c r="AB187" s="541">
        <v>0</v>
      </c>
      <c r="AC187" s="541">
        <v>0</v>
      </c>
      <c r="AD187" s="541">
        <v>0</v>
      </c>
      <c r="AE187" s="541">
        <v>0</v>
      </c>
      <c r="AF187" s="541">
        <v>0</v>
      </c>
      <c r="AG187" s="541">
        <v>0</v>
      </c>
      <c r="AH187" s="541">
        <v>31030</v>
      </c>
      <c r="AI187" s="541">
        <v>4651</v>
      </c>
      <c r="AJ187" s="541">
        <v>1646</v>
      </c>
      <c r="AK187" s="541">
        <v>0</v>
      </c>
      <c r="AL187" s="541">
        <v>0</v>
      </c>
      <c r="AM187" s="541">
        <v>0</v>
      </c>
      <c r="AN187" s="541">
        <v>0</v>
      </c>
      <c r="AO187" s="541">
        <v>0</v>
      </c>
      <c r="AP187" s="541">
        <v>4153</v>
      </c>
      <c r="AQ187" s="541">
        <v>0</v>
      </c>
      <c r="AR187" s="541">
        <v>0</v>
      </c>
      <c r="AS187" s="541">
        <v>0</v>
      </c>
      <c r="AT187" s="543">
        <v>13560</v>
      </c>
      <c r="AU187" s="541">
        <v>0</v>
      </c>
      <c r="AV187" s="541">
        <v>6473.90625</v>
      </c>
      <c r="AW187" s="541">
        <v>0</v>
      </c>
      <c r="AX187" s="541">
        <v>14682.5</v>
      </c>
      <c r="AY187" s="541">
        <v>6473.90625</v>
      </c>
      <c r="AZ187" s="541">
        <v>0</v>
      </c>
      <c r="BA187" s="541">
        <v>0</v>
      </c>
      <c r="BB187" s="541">
        <v>0</v>
      </c>
      <c r="BC187" s="544">
        <v>465367.02106366633</v>
      </c>
      <c r="BD187" s="544">
        <v>465367.02106366633</v>
      </c>
      <c r="BE187" s="511"/>
      <c r="BF187" s="565">
        <v>371154.3125</v>
      </c>
      <c r="BG187" s="565">
        <v>94212.708563666296</v>
      </c>
      <c r="BH187" s="565">
        <v>0</v>
      </c>
      <c r="BI187" s="565">
        <v>0</v>
      </c>
      <c r="BJ187" s="565">
        <v>465367.02106366633</v>
      </c>
      <c r="BK187" s="565">
        <v>0</v>
      </c>
      <c r="BL187" s="511"/>
      <c r="BM187" s="565">
        <v>269000</v>
      </c>
      <c r="BN187" s="565">
        <v>52287.244313666306</v>
      </c>
    </row>
    <row r="188" spans="1:66" ht="13.2" x14ac:dyDescent="0.25">
      <c r="A188" s="515" t="s">
        <v>614</v>
      </c>
      <c r="B188" s="517">
        <v>2245</v>
      </c>
      <c r="C188" s="517" t="s">
        <v>471</v>
      </c>
      <c r="D188" s="517" t="s">
        <v>36</v>
      </c>
      <c r="E188" s="518" t="s">
        <v>801</v>
      </c>
      <c r="F188" s="540"/>
      <c r="G188" s="540"/>
      <c r="H188" s="540"/>
      <c r="I188" s="540">
        <v>0</v>
      </c>
      <c r="J188" s="540">
        <v>1000</v>
      </c>
      <c r="K188" s="540">
        <v>6500</v>
      </c>
      <c r="L188" s="541">
        <v>12000</v>
      </c>
      <c r="M188" s="541" t="s">
        <v>1476</v>
      </c>
      <c r="N188" s="541">
        <v>0</v>
      </c>
      <c r="O188" s="541">
        <v>0</v>
      </c>
      <c r="P188" s="541">
        <v>0</v>
      </c>
      <c r="Q188" s="541">
        <v>25028.153710178005</v>
      </c>
      <c r="R188" s="541">
        <v>20022.522968142403</v>
      </c>
      <c r="S188" s="542">
        <v>28258.27</v>
      </c>
      <c r="T188" s="541">
        <v>51110</v>
      </c>
      <c r="U188" s="541">
        <v>51110</v>
      </c>
      <c r="V188" s="541">
        <v>50437.5</v>
      </c>
      <c r="W188" s="541">
        <v>49092.5</v>
      </c>
      <c r="X188" s="543" t="s">
        <v>1476</v>
      </c>
      <c r="Y188" s="541">
        <v>0</v>
      </c>
      <c r="Z188" s="541">
        <v>17857</v>
      </c>
      <c r="AA188" s="541">
        <v>0</v>
      </c>
      <c r="AB188" s="541">
        <v>0</v>
      </c>
      <c r="AC188" s="541">
        <v>0</v>
      </c>
      <c r="AD188" s="541">
        <v>0</v>
      </c>
      <c r="AE188" s="541">
        <v>0</v>
      </c>
      <c r="AF188" s="541">
        <v>0</v>
      </c>
      <c r="AG188" s="541">
        <v>0</v>
      </c>
      <c r="AH188" s="541">
        <v>13210</v>
      </c>
      <c r="AI188" s="541">
        <v>3056</v>
      </c>
      <c r="AJ188" s="541">
        <v>1082</v>
      </c>
      <c r="AK188" s="541">
        <v>0</v>
      </c>
      <c r="AL188" s="541">
        <v>0</v>
      </c>
      <c r="AM188" s="541">
        <v>0</v>
      </c>
      <c r="AN188" s="541">
        <v>0</v>
      </c>
      <c r="AO188" s="541">
        <v>0</v>
      </c>
      <c r="AP188" s="541">
        <v>0</v>
      </c>
      <c r="AQ188" s="541">
        <v>0</v>
      </c>
      <c r="AR188" s="541">
        <v>0</v>
      </c>
      <c r="AS188" s="541">
        <v>0</v>
      </c>
      <c r="AT188" s="543">
        <v>7830</v>
      </c>
      <c r="AU188" s="541">
        <v>0</v>
      </c>
      <c r="AV188" s="541">
        <v>5377.96875</v>
      </c>
      <c r="AW188" s="541">
        <v>0</v>
      </c>
      <c r="AX188" s="541">
        <v>11493.5</v>
      </c>
      <c r="AY188" s="541">
        <v>5259.84375</v>
      </c>
      <c r="AZ188" s="541">
        <v>0</v>
      </c>
      <c r="BA188" s="541">
        <v>0</v>
      </c>
      <c r="BB188" s="541">
        <v>0</v>
      </c>
      <c r="BC188" s="544">
        <v>359725.25917832041</v>
      </c>
      <c r="BD188" s="544">
        <v>359725.25917832041</v>
      </c>
      <c r="BE188" s="511"/>
      <c r="BF188" s="565">
        <v>266916.3125</v>
      </c>
      <c r="BG188" s="565">
        <v>92808.946678320412</v>
      </c>
      <c r="BH188" s="565">
        <v>0</v>
      </c>
      <c r="BI188" s="565">
        <v>0</v>
      </c>
      <c r="BJ188" s="565">
        <v>359725.25917832041</v>
      </c>
      <c r="BK188" s="565">
        <v>0</v>
      </c>
      <c r="BL188" s="511"/>
      <c r="BM188" s="565">
        <v>201750</v>
      </c>
      <c r="BN188" s="565">
        <v>73308.946678320412</v>
      </c>
    </row>
    <row r="189" spans="1:66" ht="13.2" x14ac:dyDescent="0.25">
      <c r="A189" s="515" t="s">
        <v>618</v>
      </c>
      <c r="B189" s="517">
        <v>2019</v>
      </c>
      <c r="C189" s="517" t="s">
        <v>473</v>
      </c>
      <c r="D189" s="517" t="s">
        <v>36</v>
      </c>
      <c r="E189" s="518" t="s">
        <v>802</v>
      </c>
      <c r="F189" s="540"/>
      <c r="G189" s="540"/>
      <c r="H189" s="540"/>
      <c r="I189" s="540">
        <v>6551.6666666666624</v>
      </c>
      <c r="J189" s="540">
        <v>16185.015000000001</v>
      </c>
      <c r="K189" s="540">
        <v>13825.26325</v>
      </c>
      <c r="L189" s="541">
        <v>1666</v>
      </c>
      <c r="M189" s="541" t="s">
        <v>1476</v>
      </c>
      <c r="N189" s="541">
        <v>0</v>
      </c>
      <c r="O189" s="541">
        <v>0</v>
      </c>
      <c r="P189" s="541">
        <v>0</v>
      </c>
      <c r="Q189" s="541">
        <v>0</v>
      </c>
      <c r="R189" s="541">
        <v>0</v>
      </c>
      <c r="S189" s="542" t="s">
        <v>1476</v>
      </c>
      <c r="T189" s="541">
        <v>70767.5</v>
      </c>
      <c r="U189" s="541">
        <v>70767.5</v>
      </c>
      <c r="V189" s="541">
        <v>70767.5</v>
      </c>
      <c r="W189" s="541">
        <v>70767.5</v>
      </c>
      <c r="X189" s="543" t="s">
        <v>1476</v>
      </c>
      <c r="Y189" s="541">
        <v>0</v>
      </c>
      <c r="Z189" s="541">
        <v>19438</v>
      </c>
      <c r="AA189" s="541">
        <v>0</v>
      </c>
      <c r="AB189" s="541">
        <v>0</v>
      </c>
      <c r="AC189" s="541">
        <v>0</v>
      </c>
      <c r="AD189" s="541">
        <v>0</v>
      </c>
      <c r="AE189" s="541">
        <v>0</v>
      </c>
      <c r="AF189" s="541">
        <v>0</v>
      </c>
      <c r="AG189" s="541">
        <v>0</v>
      </c>
      <c r="AH189" s="541">
        <v>44070</v>
      </c>
      <c r="AI189" s="541">
        <v>0</v>
      </c>
      <c r="AJ189" s="541">
        <v>0</v>
      </c>
      <c r="AK189" s="541">
        <v>0</v>
      </c>
      <c r="AL189" s="541">
        <v>0</v>
      </c>
      <c r="AM189" s="541">
        <v>0</v>
      </c>
      <c r="AN189" s="541">
        <v>0</v>
      </c>
      <c r="AO189" s="541">
        <v>0</v>
      </c>
      <c r="AP189" s="541">
        <v>0</v>
      </c>
      <c r="AQ189" s="541">
        <v>0</v>
      </c>
      <c r="AR189" s="541">
        <v>0</v>
      </c>
      <c r="AS189" s="541">
        <v>0</v>
      </c>
      <c r="AT189" s="543">
        <v>13530</v>
      </c>
      <c r="AU189" s="541">
        <v>0</v>
      </c>
      <c r="AV189" s="541">
        <v>6555.9375</v>
      </c>
      <c r="AW189" s="541">
        <v>0</v>
      </c>
      <c r="AX189" s="541">
        <v>15080</v>
      </c>
      <c r="AY189" s="541">
        <v>6555.9375</v>
      </c>
      <c r="AZ189" s="541">
        <v>0</v>
      </c>
      <c r="BA189" s="541">
        <v>0</v>
      </c>
      <c r="BB189" s="541">
        <v>0</v>
      </c>
      <c r="BC189" s="544">
        <v>426527.81991666666</v>
      </c>
      <c r="BD189" s="544">
        <v>426527.81991666666</v>
      </c>
      <c r="BE189" s="511"/>
      <c r="BF189" s="565">
        <v>388299.875</v>
      </c>
      <c r="BG189" s="565">
        <v>38227.94491666666</v>
      </c>
      <c r="BH189" s="565">
        <v>0</v>
      </c>
      <c r="BI189" s="565">
        <v>0</v>
      </c>
      <c r="BJ189" s="565">
        <v>426527.81991666666</v>
      </c>
      <c r="BK189" s="565">
        <v>0</v>
      </c>
      <c r="BL189" s="511"/>
      <c r="BM189" s="565">
        <v>283070</v>
      </c>
      <c r="BN189" s="565">
        <v>0</v>
      </c>
    </row>
    <row r="190" spans="1:66" ht="13.2" x14ac:dyDescent="0.25">
      <c r="A190" s="515" t="s">
        <v>616</v>
      </c>
      <c r="B190" s="517">
        <v>2011</v>
      </c>
      <c r="C190" s="517" t="s">
        <v>475</v>
      </c>
      <c r="D190" s="517" t="s">
        <v>107</v>
      </c>
      <c r="E190" s="518" t="s">
        <v>803</v>
      </c>
      <c r="F190" s="540"/>
      <c r="G190" s="540"/>
      <c r="H190" s="540"/>
      <c r="I190" s="540">
        <v>23681.418333333331</v>
      </c>
      <c r="J190" s="540">
        <v>15687.44033333333</v>
      </c>
      <c r="K190" s="540">
        <v>23057.252749999996</v>
      </c>
      <c r="L190" s="541">
        <v>4000</v>
      </c>
      <c r="M190" s="541" t="s">
        <v>1476</v>
      </c>
      <c r="N190" s="541">
        <v>0</v>
      </c>
      <c r="O190" s="541">
        <v>0</v>
      </c>
      <c r="P190" s="541">
        <v>0</v>
      </c>
      <c r="Q190" s="541">
        <v>0</v>
      </c>
      <c r="R190" s="541">
        <v>0</v>
      </c>
      <c r="S190" s="542" t="s">
        <v>1476</v>
      </c>
      <c r="T190" s="541">
        <v>64387.5</v>
      </c>
      <c r="U190" s="541">
        <v>64387.5</v>
      </c>
      <c r="V190" s="541">
        <v>64387.5</v>
      </c>
      <c r="W190" s="541">
        <v>64387.5</v>
      </c>
      <c r="X190" s="543" t="s">
        <v>1476</v>
      </c>
      <c r="Y190" s="541">
        <v>0</v>
      </c>
      <c r="Z190" s="541">
        <v>21290</v>
      </c>
      <c r="AA190" s="541">
        <v>0</v>
      </c>
      <c r="AB190" s="541">
        <v>0</v>
      </c>
      <c r="AC190" s="541">
        <v>0</v>
      </c>
      <c r="AD190" s="541">
        <v>0</v>
      </c>
      <c r="AE190" s="541">
        <v>0</v>
      </c>
      <c r="AF190" s="541">
        <v>0</v>
      </c>
      <c r="AG190" s="541">
        <v>0</v>
      </c>
      <c r="AH190" s="541">
        <v>75749</v>
      </c>
      <c r="AI190" s="541">
        <v>5049</v>
      </c>
      <c r="AJ190" s="541">
        <v>1786</v>
      </c>
      <c r="AK190" s="541">
        <v>0</v>
      </c>
      <c r="AL190" s="541">
        <v>0</v>
      </c>
      <c r="AM190" s="541">
        <v>0</v>
      </c>
      <c r="AN190" s="541">
        <v>0</v>
      </c>
      <c r="AO190" s="541">
        <v>0</v>
      </c>
      <c r="AP190" s="541">
        <v>904.65</v>
      </c>
      <c r="AQ190" s="541">
        <v>0</v>
      </c>
      <c r="AR190" s="541">
        <v>1200</v>
      </c>
      <c r="AS190" s="541">
        <v>0</v>
      </c>
      <c r="AT190" s="543">
        <v>20430</v>
      </c>
      <c r="AU190" s="541">
        <v>0</v>
      </c>
      <c r="AV190" s="541">
        <v>5965.3125</v>
      </c>
      <c r="AW190" s="541">
        <v>0</v>
      </c>
      <c r="AX190" s="541">
        <v>13775</v>
      </c>
      <c r="AY190" s="541">
        <v>5965.3125</v>
      </c>
      <c r="AZ190" s="541">
        <v>0</v>
      </c>
      <c r="BA190" s="541">
        <v>0</v>
      </c>
      <c r="BB190" s="541">
        <v>0</v>
      </c>
      <c r="BC190" s="544">
        <v>476090.38641666668</v>
      </c>
      <c r="BD190" s="544">
        <v>476090.38641666668</v>
      </c>
      <c r="BE190" s="511"/>
      <c r="BF190" s="565">
        <v>409664.27500000002</v>
      </c>
      <c r="BG190" s="565">
        <v>66426.111416666652</v>
      </c>
      <c r="BH190" s="565">
        <v>0</v>
      </c>
      <c r="BI190" s="565">
        <v>0</v>
      </c>
      <c r="BJ190" s="565">
        <v>476090.38641666668</v>
      </c>
      <c r="BK190" s="565">
        <v>0</v>
      </c>
      <c r="BL190" s="511"/>
      <c r="BM190" s="565">
        <v>257550</v>
      </c>
      <c r="BN190" s="565">
        <v>0</v>
      </c>
    </row>
    <row r="191" spans="1:66" ht="13.2" x14ac:dyDescent="0.25">
      <c r="A191" s="515" t="s">
        <v>614</v>
      </c>
      <c r="B191" s="517">
        <v>2478</v>
      </c>
      <c r="C191" s="517" t="s">
        <v>477</v>
      </c>
      <c r="D191" s="517" t="s">
        <v>36</v>
      </c>
      <c r="E191" s="518" t="s">
        <v>804</v>
      </c>
      <c r="F191" s="540"/>
      <c r="G191" s="540"/>
      <c r="H191" s="540"/>
      <c r="I191" s="540">
        <v>6200</v>
      </c>
      <c r="J191" s="540">
        <v>5782.7969999999996</v>
      </c>
      <c r="K191" s="540">
        <v>8080.4310833333329</v>
      </c>
      <c r="L191" s="541">
        <v>3850.3333333333335</v>
      </c>
      <c r="M191" s="541" t="s">
        <v>1476</v>
      </c>
      <c r="N191" s="541">
        <v>0</v>
      </c>
      <c r="O191" s="541">
        <v>0</v>
      </c>
      <c r="P191" s="541">
        <v>0</v>
      </c>
      <c r="Q191" s="541">
        <v>0</v>
      </c>
      <c r="R191" s="541">
        <v>0</v>
      </c>
      <c r="S191" s="542" t="s">
        <v>1476</v>
      </c>
      <c r="T191" s="541">
        <v>10078.75</v>
      </c>
      <c r="U191" s="541">
        <v>10078.75</v>
      </c>
      <c r="V191" s="541">
        <v>10078.75</v>
      </c>
      <c r="W191" s="541">
        <v>10078.75</v>
      </c>
      <c r="X191" s="543" t="s">
        <v>1476</v>
      </c>
      <c r="Y191" s="541">
        <v>0</v>
      </c>
      <c r="Z191" s="541">
        <v>19611</v>
      </c>
      <c r="AA191" s="541">
        <v>0</v>
      </c>
      <c r="AB191" s="541">
        <v>0</v>
      </c>
      <c r="AC191" s="541">
        <v>0</v>
      </c>
      <c r="AD191" s="541">
        <v>0</v>
      </c>
      <c r="AE191" s="541">
        <v>0</v>
      </c>
      <c r="AF191" s="541">
        <v>0</v>
      </c>
      <c r="AG191" s="541">
        <v>0</v>
      </c>
      <c r="AH191" s="541">
        <v>72321</v>
      </c>
      <c r="AI191" s="541">
        <v>3454</v>
      </c>
      <c r="AJ191" s="541">
        <v>1222</v>
      </c>
      <c r="AK191" s="541">
        <v>0</v>
      </c>
      <c r="AL191" s="541">
        <v>0</v>
      </c>
      <c r="AM191" s="541">
        <v>0</v>
      </c>
      <c r="AN191" s="541">
        <v>0</v>
      </c>
      <c r="AO191" s="541">
        <v>0</v>
      </c>
      <c r="AP191" s="541">
        <v>0</v>
      </c>
      <c r="AQ191" s="541">
        <v>0</v>
      </c>
      <c r="AR191" s="541">
        <v>0</v>
      </c>
      <c r="AS191" s="541">
        <v>0</v>
      </c>
      <c r="AT191" s="543">
        <v>14000</v>
      </c>
      <c r="AU191" s="541">
        <v>0</v>
      </c>
      <c r="AV191" s="541">
        <v>945.00000000000011</v>
      </c>
      <c r="AW191" s="541">
        <v>0</v>
      </c>
      <c r="AX191" s="541">
        <v>2102.5</v>
      </c>
      <c r="AY191" s="541">
        <v>945.00000000000011</v>
      </c>
      <c r="AZ191" s="541">
        <v>0</v>
      </c>
      <c r="BA191" s="541">
        <v>0</v>
      </c>
      <c r="BB191" s="541">
        <v>0</v>
      </c>
      <c r="BC191" s="544">
        <v>178829.06141666666</v>
      </c>
      <c r="BD191" s="544">
        <v>178829.06141666666</v>
      </c>
      <c r="BE191" s="511"/>
      <c r="BF191" s="565">
        <v>154915.5</v>
      </c>
      <c r="BG191" s="565">
        <v>23913.561416666664</v>
      </c>
      <c r="BH191" s="565">
        <v>0</v>
      </c>
      <c r="BI191" s="565">
        <v>0</v>
      </c>
      <c r="BJ191" s="565">
        <v>178829.06141666666</v>
      </c>
      <c r="BK191" s="565">
        <v>0</v>
      </c>
      <c r="BL191" s="511"/>
      <c r="BM191" s="565">
        <v>40315</v>
      </c>
      <c r="BN191" s="565">
        <v>0</v>
      </c>
    </row>
    <row r="192" spans="1:66" ht="13.2" x14ac:dyDescent="0.25">
      <c r="A192" s="515" t="s">
        <v>616</v>
      </c>
      <c r="B192" s="517">
        <v>2293</v>
      </c>
      <c r="C192" s="517" t="s">
        <v>479</v>
      </c>
      <c r="D192" s="517" t="s">
        <v>107</v>
      </c>
      <c r="E192" s="539" t="s">
        <v>805</v>
      </c>
      <c r="F192" s="540"/>
      <c r="G192" s="540"/>
      <c r="H192" s="540"/>
      <c r="I192" s="540">
        <v>5944.7570833333339</v>
      </c>
      <c r="J192" s="540">
        <v>2671.8956666666663</v>
      </c>
      <c r="K192" s="540">
        <v>2003.9195</v>
      </c>
      <c r="L192" s="541">
        <v>0</v>
      </c>
      <c r="M192" s="541" t="s">
        <v>1476</v>
      </c>
      <c r="N192" s="541">
        <v>0</v>
      </c>
      <c r="O192" s="541">
        <v>0</v>
      </c>
      <c r="P192" s="541">
        <v>0</v>
      </c>
      <c r="Q192" s="541">
        <v>0</v>
      </c>
      <c r="R192" s="541">
        <v>0</v>
      </c>
      <c r="S192" s="542" t="s">
        <v>1476</v>
      </c>
      <c r="T192" s="541">
        <v>96245</v>
      </c>
      <c r="U192" s="541">
        <v>96245</v>
      </c>
      <c r="V192" s="541">
        <v>96581.25</v>
      </c>
      <c r="W192" s="541">
        <v>97253.75</v>
      </c>
      <c r="X192" s="543" t="s">
        <v>1476</v>
      </c>
      <c r="Y192" s="541">
        <v>0</v>
      </c>
      <c r="Z192" s="541">
        <v>21296</v>
      </c>
      <c r="AA192" s="541">
        <v>0</v>
      </c>
      <c r="AB192" s="541">
        <v>0</v>
      </c>
      <c r="AC192" s="541">
        <v>0</v>
      </c>
      <c r="AD192" s="541">
        <v>0</v>
      </c>
      <c r="AE192" s="541">
        <v>0</v>
      </c>
      <c r="AF192" s="541">
        <v>0</v>
      </c>
      <c r="AG192" s="541">
        <v>0</v>
      </c>
      <c r="AH192" s="541">
        <v>53279</v>
      </c>
      <c r="AI192" s="541">
        <v>8237</v>
      </c>
      <c r="AJ192" s="541">
        <v>2916</v>
      </c>
      <c r="AK192" s="541">
        <v>0</v>
      </c>
      <c r="AL192" s="541">
        <v>0</v>
      </c>
      <c r="AM192" s="541">
        <v>0</v>
      </c>
      <c r="AN192" s="541">
        <v>0</v>
      </c>
      <c r="AO192" s="541">
        <v>0</v>
      </c>
      <c r="AP192" s="541">
        <v>0</v>
      </c>
      <c r="AQ192" s="541">
        <v>0</v>
      </c>
      <c r="AR192" s="541">
        <v>0</v>
      </c>
      <c r="AS192" s="541">
        <v>0</v>
      </c>
      <c r="AT192" s="543">
        <v>20600</v>
      </c>
      <c r="AU192" s="541">
        <v>0</v>
      </c>
      <c r="AV192" s="541">
        <v>9095.625</v>
      </c>
      <c r="AW192" s="541">
        <v>0</v>
      </c>
      <c r="AX192" s="541">
        <v>20807.5</v>
      </c>
      <c r="AY192" s="541">
        <v>9213.75</v>
      </c>
      <c r="AZ192" s="541">
        <v>0</v>
      </c>
      <c r="BA192" s="541">
        <v>0</v>
      </c>
      <c r="BB192" s="541">
        <v>0</v>
      </c>
      <c r="BC192" s="544">
        <v>542390.44724999997</v>
      </c>
      <c r="BD192" s="544">
        <v>542390.44724999997</v>
      </c>
      <c r="BE192" s="511"/>
      <c r="BF192" s="565">
        <v>531769.875</v>
      </c>
      <c r="BG192" s="565">
        <v>10620.572250000001</v>
      </c>
      <c r="BH192" s="565">
        <v>0</v>
      </c>
      <c r="BI192" s="565">
        <v>0</v>
      </c>
      <c r="BJ192" s="565">
        <v>542390.44724999997</v>
      </c>
      <c r="BK192" s="565">
        <v>0</v>
      </c>
      <c r="BL192" s="511"/>
      <c r="BM192" s="565">
        <v>386325</v>
      </c>
      <c r="BN192" s="565">
        <v>0</v>
      </c>
    </row>
    <row r="193" spans="1:66" ht="13.2" x14ac:dyDescent="0.25">
      <c r="A193" s="515" t="s">
        <v>614</v>
      </c>
      <c r="B193" s="517">
        <v>2445</v>
      </c>
      <c r="C193" s="517" t="s">
        <v>481</v>
      </c>
      <c r="D193" s="517" t="s">
        <v>36</v>
      </c>
      <c r="E193" s="518" t="s">
        <v>806</v>
      </c>
      <c r="F193" s="540"/>
      <c r="G193" s="540"/>
      <c r="H193" s="540"/>
      <c r="I193" s="540">
        <v>5981.9141666666674</v>
      </c>
      <c r="J193" s="540">
        <v>4785.5313333333334</v>
      </c>
      <c r="K193" s="540">
        <v>8930.8126666666685</v>
      </c>
      <c r="L193" s="541">
        <v>0</v>
      </c>
      <c r="M193" s="541" t="s">
        <v>1476</v>
      </c>
      <c r="N193" s="541">
        <v>0</v>
      </c>
      <c r="O193" s="541">
        <v>0</v>
      </c>
      <c r="P193" s="541">
        <v>0</v>
      </c>
      <c r="Q193" s="541">
        <v>0</v>
      </c>
      <c r="R193" s="541">
        <v>0</v>
      </c>
      <c r="S193" s="542" t="s">
        <v>1476</v>
      </c>
      <c r="T193" s="541">
        <v>48083.75</v>
      </c>
      <c r="U193" s="541">
        <v>48083.75</v>
      </c>
      <c r="V193" s="541">
        <v>48083.75</v>
      </c>
      <c r="W193" s="541">
        <v>48083.75</v>
      </c>
      <c r="X193" s="543" t="s">
        <v>1476</v>
      </c>
      <c r="Y193" s="541">
        <v>0</v>
      </c>
      <c r="Z193" s="541">
        <v>17765</v>
      </c>
      <c r="AA193" s="541">
        <v>0</v>
      </c>
      <c r="AB193" s="541">
        <v>0</v>
      </c>
      <c r="AC193" s="541">
        <v>0</v>
      </c>
      <c r="AD193" s="541">
        <v>0</v>
      </c>
      <c r="AE193" s="541">
        <v>0</v>
      </c>
      <c r="AF193" s="541">
        <v>0</v>
      </c>
      <c r="AG193" s="541">
        <v>0</v>
      </c>
      <c r="AH193" s="541">
        <v>7744</v>
      </c>
      <c r="AI193" s="541">
        <v>0</v>
      </c>
      <c r="AJ193" s="541">
        <v>0</v>
      </c>
      <c r="AK193" s="541">
        <v>0</v>
      </c>
      <c r="AL193" s="541">
        <v>0</v>
      </c>
      <c r="AM193" s="541">
        <v>0</v>
      </c>
      <c r="AN193" s="541">
        <v>0</v>
      </c>
      <c r="AO193" s="541">
        <v>0</v>
      </c>
      <c r="AP193" s="541">
        <v>0</v>
      </c>
      <c r="AQ193" s="541">
        <v>0</v>
      </c>
      <c r="AR193" s="541">
        <v>1200</v>
      </c>
      <c r="AS193" s="541">
        <v>0</v>
      </c>
      <c r="AT193" s="543">
        <v>6900</v>
      </c>
      <c r="AU193" s="541">
        <v>0</v>
      </c>
      <c r="AV193" s="541">
        <v>4370.625</v>
      </c>
      <c r="AW193" s="541">
        <v>0</v>
      </c>
      <c r="AX193" s="541">
        <v>10367.5</v>
      </c>
      <c r="AY193" s="541">
        <v>4370.625</v>
      </c>
      <c r="AZ193" s="541">
        <v>0</v>
      </c>
      <c r="BA193" s="541">
        <v>0</v>
      </c>
      <c r="BB193" s="541">
        <v>0</v>
      </c>
      <c r="BC193" s="544">
        <v>264751.00816666667</v>
      </c>
      <c r="BD193" s="544">
        <v>264751.00816666667</v>
      </c>
      <c r="BE193" s="511"/>
      <c r="BF193" s="565">
        <v>245052.75</v>
      </c>
      <c r="BG193" s="565">
        <v>19698.25816666667</v>
      </c>
      <c r="BH193" s="565">
        <v>0</v>
      </c>
      <c r="BI193" s="565">
        <v>0</v>
      </c>
      <c r="BJ193" s="565">
        <v>264751.00816666667</v>
      </c>
      <c r="BK193" s="565">
        <v>0</v>
      </c>
      <c r="BL193" s="511"/>
      <c r="BM193" s="565">
        <v>192335</v>
      </c>
      <c r="BN193" s="565">
        <v>0</v>
      </c>
    </row>
    <row r="194" spans="1:66" ht="13.2" x14ac:dyDescent="0.25">
      <c r="A194" s="515" t="s">
        <v>614</v>
      </c>
      <c r="B194" s="517">
        <v>2278</v>
      </c>
      <c r="C194" s="517" t="s">
        <v>483</v>
      </c>
      <c r="D194" s="517" t="s">
        <v>36</v>
      </c>
      <c r="E194" s="518" t="s">
        <v>807</v>
      </c>
      <c r="F194" s="540"/>
      <c r="G194" s="540"/>
      <c r="H194" s="540"/>
      <c r="I194" s="540">
        <v>10831.516666666666</v>
      </c>
      <c r="J194" s="540">
        <v>17740.88</v>
      </c>
      <c r="K194" s="540">
        <v>31363.662499999999</v>
      </c>
      <c r="L194" s="541">
        <v>5418.666666666667</v>
      </c>
      <c r="M194" s="541" t="s">
        <v>1476</v>
      </c>
      <c r="N194" s="541">
        <v>0</v>
      </c>
      <c r="O194" s="541">
        <v>0</v>
      </c>
      <c r="P194" s="541">
        <v>0</v>
      </c>
      <c r="Q194" s="541">
        <v>0</v>
      </c>
      <c r="R194" s="541">
        <v>0</v>
      </c>
      <c r="S194" s="542" t="s">
        <v>1476</v>
      </c>
      <c r="T194" s="541">
        <v>73638.75</v>
      </c>
      <c r="U194" s="541">
        <v>73638.75</v>
      </c>
      <c r="V194" s="541">
        <v>72966.25</v>
      </c>
      <c r="W194" s="541">
        <v>71621.25</v>
      </c>
      <c r="X194" s="543" t="s">
        <v>1476</v>
      </c>
      <c r="Y194" s="541">
        <v>0</v>
      </c>
      <c r="Z194" s="541">
        <v>19410</v>
      </c>
      <c r="AA194" s="541">
        <v>0</v>
      </c>
      <c r="AB194" s="541">
        <v>0</v>
      </c>
      <c r="AC194" s="541">
        <v>0</v>
      </c>
      <c r="AD194" s="541">
        <v>0</v>
      </c>
      <c r="AE194" s="541">
        <v>0</v>
      </c>
      <c r="AF194" s="541">
        <v>0</v>
      </c>
      <c r="AG194" s="541">
        <v>0</v>
      </c>
      <c r="AH194" s="541">
        <v>17711</v>
      </c>
      <c r="AI194" s="541">
        <v>0</v>
      </c>
      <c r="AJ194" s="541">
        <v>0</v>
      </c>
      <c r="AK194" s="541">
        <v>0</v>
      </c>
      <c r="AL194" s="541">
        <v>0</v>
      </c>
      <c r="AM194" s="541">
        <v>0</v>
      </c>
      <c r="AN194" s="541">
        <v>0</v>
      </c>
      <c r="AO194" s="541">
        <v>0</v>
      </c>
      <c r="AP194" s="541">
        <v>0</v>
      </c>
      <c r="AQ194" s="541">
        <v>0</v>
      </c>
      <c r="AR194" s="541">
        <v>1200</v>
      </c>
      <c r="AS194" s="541">
        <v>0</v>
      </c>
      <c r="AT194" s="543">
        <v>13260</v>
      </c>
      <c r="AU194" s="541">
        <v>0</v>
      </c>
      <c r="AV194" s="541">
        <v>6969.375</v>
      </c>
      <c r="AW194" s="541">
        <v>0</v>
      </c>
      <c r="AX194" s="541">
        <v>15732.5</v>
      </c>
      <c r="AY194" s="541">
        <v>6733.125</v>
      </c>
      <c r="AZ194" s="541">
        <v>0</v>
      </c>
      <c r="BA194" s="541">
        <v>0</v>
      </c>
      <c r="BB194" s="541">
        <v>0</v>
      </c>
      <c r="BC194" s="544">
        <v>438235.72583333333</v>
      </c>
      <c r="BD194" s="544">
        <v>438235.72583333333</v>
      </c>
      <c r="BE194" s="511"/>
      <c r="BF194" s="565">
        <v>372881</v>
      </c>
      <c r="BG194" s="565">
        <v>65354.72583333333</v>
      </c>
      <c r="BH194" s="565">
        <v>0</v>
      </c>
      <c r="BI194" s="565">
        <v>0</v>
      </c>
      <c r="BJ194" s="565">
        <v>438235.72583333333</v>
      </c>
      <c r="BK194" s="565">
        <v>0</v>
      </c>
      <c r="BL194" s="511"/>
      <c r="BM194" s="565">
        <v>291865</v>
      </c>
      <c r="BN194" s="565">
        <v>0</v>
      </c>
    </row>
    <row r="195" spans="1:66" ht="13.2" x14ac:dyDescent="0.25">
      <c r="A195" s="515" t="s">
        <v>618</v>
      </c>
      <c r="B195" s="517">
        <v>2314</v>
      </c>
      <c r="C195" s="517" t="s">
        <v>485</v>
      </c>
      <c r="D195" s="517" t="s">
        <v>36</v>
      </c>
      <c r="E195" s="518" t="s">
        <v>808</v>
      </c>
      <c r="F195" s="540"/>
      <c r="G195" s="540"/>
      <c r="H195" s="540"/>
      <c r="I195" s="540">
        <v>320.65666666666664</v>
      </c>
      <c r="J195" s="540">
        <v>0</v>
      </c>
      <c r="K195" s="540">
        <v>1600</v>
      </c>
      <c r="L195" s="541">
        <v>3778.6666666666665</v>
      </c>
      <c r="M195" s="541" t="s">
        <v>1476</v>
      </c>
      <c r="N195" s="541">
        <v>0</v>
      </c>
      <c r="O195" s="541">
        <v>0</v>
      </c>
      <c r="P195" s="541">
        <v>0</v>
      </c>
      <c r="Q195" s="541">
        <v>0</v>
      </c>
      <c r="R195" s="541">
        <v>0</v>
      </c>
      <c r="S195" s="542" t="s">
        <v>1476</v>
      </c>
      <c r="T195" s="541">
        <v>17726.25</v>
      </c>
      <c r="U195" s="541">
        <v>17726.25</v>
      </c>
      <c r="V195" s="541">
        <v>17726.25</v>
      </c>
      <c r="W195" s="541">
        <v>17726.25</v>
      </c>
      <c r="X195" s="543" t="s">
        <v>1476</v>
      </c>
      <c r="Y195" s="541">
        <v>0</v>
      </c>
      <c r="Z195" s="541">
        <v>17772</v>
      </c>
      <c r="AA195" s="541">
        <v>0</v>
      </c>
      <c r="AB195" s="541">
        <v>0</v>
      </c>
      <c r="AC195" s="541">
        <v>0</v>
      </c>
      <c r="AD195" s="541">
        <v>0</v>
      </c>
      <c r="AE195" s="541">
        <v>0</v>
      </c>
      <c r="AF195" s="541">
        <v>0</v>
      </c>
      <c r="AG195" s="541">
        <v>0</v>
      </c>
      <c r="AH195" s="541">
        <v>31029</v>
      </c>
      <c r="AI195" s="541">
        <v>0</v>
      </c>
      <c r="AJ195" s="541">
        <v>0</v>
      </c>
      <c r="AK195" s="541">
        <v>0</v>
      </c>
      <c r="AL195" s="541">
        <v>0</v>
      </c>
      <c r="AM195" s="541">
        <v>0</v>
      </c>
      <c r="AN195" s="541">
        <v>0</v>
      </c>
      <c r="AO195" s="541">
        <v>0</v>
      </c>
      <c r="AP195" s="541">
        <v>0</v>
      </c>
      <c r="AQ195" s="541">
        <v>0</v>
      </c>
      <c r="AR195" s="541">
        <v>0</v>
      </c>
      <c r="AS195" s="541">
        <v>0</v>
      </c>
      <c r="AT195" s="543">
        <v>6830</v>
      </c>
      <c r="AU195" s="541">
        <v>0</v>
      </c>
      <c r="AV195" s="541">
        <v>1653.75</v>
      </c>
      <c r="AW195" s="541">
        <v>0</v>
      </c>
      <c r="AX195" s="541">
        <v>3552.5</v>
      </c>
      <c r="AY195" s="541">
        <v>1653.75</v>
      </c>
      <c r="AZ195" s="541">
        <v>0</v>
      </c>
      <c r="BA195" s="541">
        <v>0</v>
      </c>
      <c r="BB195" s="541">
        <v>0</v>
      </c>
      <c r="BC195" s="544">
        <v>139095.32333333333</v>
      </c>
      <c r="BD195" s="544">
        <v>139095.32333333333</v>
      </c>
      <c r="BE195" s="511"/>
      <c r="BF195" s="565">
        <v>133396</v>
      </c>
      <c r="BG195" s="565">
        <v>5699.3233333333337</v>
      </c>
      <c r="BH195" s="565">
        <v>0</v>
      </c>
      <c r="BI195" s="565">
        <v>0</v>
      </c>
      <c r="BJ195" s="565">
        <v>139095.32333333333</v>
      </c>
      <c r="BK195" s="565">
        <v>0</v>
      </c>
      <c r="BL195" s="511"/>
      <c r="BM195" s="565">
        <v>70905</v>
      </c>
      <c r="BN195" s="565">
        <v>0</v>
      </c>
    </row>
    <row r="196" spans="1:66" ht="13.2" x14ac:dyDescent="0.25">
      <c r="A196" s="515" t="s">
        <v>614</v>
      </c>
      <c r="B196" s="517">
        <v>2317</v>
      </c>
      <c r="C196" s="517" t="s">
        <v>487</v>
      </c>
      <c r="D196" s="517" t="s">
        <v>36</v>
      </c>
      <c r="E196" s="518" t="s">
        <v>809</v>
      </c>
      <c r="F196" s="540"/>
      <c r="G196" s="540"/>
      <c r="H196" s="540"/>
      <c r="I196" s="540">
        <v>2800</v>
      </c>
      <c r="J196" s="540">
        <v>4000</v>
      </c>
      <c r="K196" s="540">
        <v>8000</v>
      </c>
      <c r="L196" s="541">
        <v>0</v>
      </c>
      <c r="M196" s="541" t="s">
        <v>1476</v>
      </c>
      <c r="N196" s="541">
        <v>0</v>
      </c>
      <c r="O196" s="541">
        <v>0</v>
      </c>
      <c r="P196" s="541">
        <v>0</v>
      </c>
      <c r="Q196" s="541">
        <v>93401.5671803523</v>
      </c>
      <c r="R196" s="541">
        <v>74721.253744281843</v>
      </c>
      <c r="S196" s="542">
        <v>-73770.22</v>
      </c>
      <c r="T196" s="541">
        <v>36315</v>
      </c>
      <c r="U196" s="541">
        <v>36315</v>
      </c>
      <c r="V196" s="541">
        <v>36315</v>
      </c>
      <c r="W196" s="541">
        <v>36315</v>
      </c>
      <c r="X196" s="543" t="s">
        <v>1476</v>
      </c>
      <c r="Y196" s="541">
        <v>0</v>
      </c>
      <c r="Z196" s="541">
        <v>17795</v>
      </c>
      <c r="AA196" s="541">
        <v>0</v>
      </c>
      <c r="AB196" s="541">
        <v>0</v>
      </c>
      <c r="AC196" s="541">
        <v>0</v>
      </c>
      <c r="AD196" s="541">
        <v>0</v>
      </c>
      <c r="AE196" s="541">
        <v>0</v>
      </c>
      <c r="AF196" s="541">
        <v>0</v>
      </c>
      <c r="AG196" s="541">
        <v>0</v>
      </c>
      <c r="AH196" s="541">
        <v>61633</v>
      </c>
      <c r="AI196" s="541">
        <v>7972</v>
      </c>
      <c r="AJ196" s="541">
        <v>2821</v>
      </c>
      <c r="AK196" s="541">
        <v>0</v>
      </c>
      <c r="AL196" s="541">
        <v>0</v>
      </c>
      <c r="AM196" s="541">
        <v>0</v>
      </c>
      <c r="AN196" s="541">
        <v>0</v>
      </c>
      <c r="AO196" s="541">
        <v>0</v>
      </c>
      <c r="AP196" s="541">
        <v>231</v>
      </c>
      <c r="AQ196" s="541">
        <v>0</v>
      </c>
      <c r="AR196" s="541">
        <v>0</v>
      </c>
      <c r="AS196" s="541">
        <v>0</v>
      </c>
      <c r="AT196" s="543">
        <v>9330</v>
      </c>
      <c r="AU196" s="541">
        <v>0</v>
      </c>
      <c r="AV196" s="541">
        <v>2693.90625</v>
      </c>
      <c r="AW196" s="541">
        <v>0</v>
      </c>
      <c r="AX196" s="541">
        <v>7947</v>
      </c>
      <c r="AY196" s="541">
        <v>2693.90625</v>
      </c>
      <c r="AZ196" s="541">
        <v>0</v>
      </c>
      <c r="BA196" s="541">
        <v>0</v>
      </c>
      <c r="BB196" s="541">
        <v>0</v>
      </c>
      <c r="BC196" s="544">
        <v>367529.41342463414</v>
      </c>
      <c r="BD196" s="544">
        <v>367529.41342463414</v>
      </c>
      <c r="BE196" s="511"/>
      <c r="BF196" s="565">
        <v>258376.8125</v>
      </c>
      <c r="BG196" s="565">
        <v>109152.60092463414</v>
      </c>
      <c r="BH196" s="565">
        <v>0</v>
      </c>
      <c r="BI196" s="565">
        <v>0</v>
      </c>
      <c r="BJ196" s="565">
        <v>367529.41342463414</v>
      </c>
      <c r="BK196" s="565">
        <v>0</v>
      </c>
      <c r="BL196" s="511"/>
      <c r="BM196" s="565">
        <v>145260</v>
      </c>
      <c r="BN196" s="565">
        <v>94352.600924634142</v>
      </c>
    </row>
    <row r="197" spans="1:66" ht="13.2" x14ac:dyDescent="0.25">
      <c r="A197" s="515" t="s">
        <v>616</v>
      </c>
      <c r="B197" s="517">
        <v>2225</v>
      </c>
      <c r="C197" s="517" t="s">
        <v>489</v>
      </c>
      <c r="D197" s="517" t="s">
        <v>107</v>
      </c>
      <c r="E197" s="518" t="s">
        <v>810</v>
      </c>
      <c r="F197" s="540"/>
      <c r="G197" s="540"/>
      <c r="H197" s="540"/>
      <c r="I197" s="540">
        <v>6202.3045833333335</v>
      </c>
      <c r="J197" s="540">
        <v>7899.2563333333328</v>
      </c>
      <c r="K197" s="540">
        <v>25524.862249999998</v>
      </c>
      <c r="L197" s="541">
        <v>0</v>
      </c>
      <c r="M197" s="541" t="s">
        <v>1476</v>
      </c>
      <c r="N197" s="541">
        <v>0</v>
      </c>
      <c r="O197" s="541">
        <v>0</v>
      </c>
      <c r="P197" s="541">
        <v>0</v>
      </c>
      <c r="Q197" s="541">
        <v>0</v>
      </c>
      <c r="R197" s="541">
        <v>0</v>
      </c>
      <c r="S197" s="542">
        <v>140426.4</v>
      </c>
      <c r="T197" s="541">
        <v>55895</v>
      </c>
      <c r="U197" s="541">
        <v>55895</v>
      </c>
      <c r="V197" s="541">
        <v>55895</v>
      </c>
      <c r="W197" s="541">
        <v>55895</v>
      </c>
      <c r="X197" s="543" t="s">
        <v>1476</v>
      </c>
      <c r="Y197" s="541">
        <v>0</v>
      </c>
      <c r="Z197" s="541">
        <v>19600</v>
      </c>
      <c r="AA197" s="541">
        <v>0</v>
      </c>
      <c r="AB197" s="541">
        <v>0</v>
      </c>
      <c r="AC197" s="541">
        <v>0</v>
      </c>
      <c r="AD197" s="541">
        <v>0</v>
      </c>
      <c r="AE197" s="541">
        <v>0</v>
      </c>
      <c r="AF197" s="541">
        <v>0</v>
      </c>
      <c r="AG197" s="541">
        <v>0</v>
      </c>
      <c r="AH197" s="541">
        <v>0</v>
      </c>
      <c r="AI197" s="541">
        <v>0</v>
      </c>
      <c r="AJ197" s="541">
        <v>0</v>
      </c>
      <c r="AK197" s="541">
        <v>0</v>
      </c>
      <c r="AL197" s="541">
        <v>0</v>
      </c>
      <c r="AM197" s="541">
        <v>0</v>
      </c>
      <c r="AN197" s="541">
        <v>0</v>
      </c>
      <c r="AO197" s="541">
        <v>0</v>
      </c>
      <c r="AP197" s="541">
        <v>0</v>
      </c>
      <c r="AQ197" s="541">
        <v>0</v>
      </c>
      <c r="AR197" s="541">
        <v>0</v>
      </c>
      <c r="AS197" s="541">
        <v>0</v>
      </c>
      <c r="AT197" s="543">
        <v>12230</v>
      </c>
      <c r="AU197" s="541">
        <v>0</v>
      </c>
      <c r="AV197" s="541">
        <v>6001.40625</v>
      </c>
      <c r="AW197" s="541">
        <v>0</v>
      </c>
      <c r="AX197" s="541">
        <v>12101.5</v>
      </c>
      <c r="AY197" s="541">
        <v>6001.40625</v>
      </c>
      <c r="AZ197" s="541">
        <v>0</v>
      </c>
      <c r="BA197" s="541">
        <v>0</v>
      </c>
      <c r="BB197" s="541">
        <v>0</v>
      </c>
      <c r="BC197" s="544">
        <v>459567.13566666667</v>
      </c>
      <c r="BD197" s="544">
        <v>459567.13566666667</v>
      </c>
      <c r="BE197" s="511"/>
      <c r="BF197" s="565">
        <v>279514.3125</v>
      </c>
      <c r="BG197" s="565">
        <v>180052.82316666667</v>
      </c>
      <c r="BH197" s="565">
        <v>0</v>
      </c>
      <c r="BI197" s="565">
        <v>0</v>
      </c>
      <c r="BJ197" s="565">
        <v>459567.13566666667</v>
      </c>
      <c r="BK197" s="565">
        <v>0</v>
      </c>
      <c r="BL197" s="511"/>
      <c r="BM197" s="565">
        <v>223580</v>
      </c>
      <c r="BN197" s="565">
        <v>140426.4</v>
      </c>
    </row>
    <row r="198" spans="1:66" ht="13.2" x14ac:dyDescent="0.25">
      <c r="A198" s="515" t="s">
        <v>614</v>
      </c>
      <c r="B198" s="517">
        <v>2412</v>
      </c>
      <c r="C198" s="517" t="s">
        <v>491</v>
      </c>
      <c r="D198" s="517" t="s">
        <v>107</v>
      </c>
      <c r="E198" s="518" t="s">
        <v>811</v>
      </c>
      <c r="F198" s="540"/>
      <c r="G198" s="540"/>
      <c r="H198" s="540"/>
      <c r="I198" s="540">
        <v>5237.7141666666666</v>
      </c>
      <c r="J198" s="540">
        <v>5358.6146666666664</v>
      </c>
      <c r="K198" s="540">
        <v>30502.627666666667</v>
      </c>
      <c r="L198" s="541">
        <v>0</v>
      </c>
      <c r="M198" s="541" t="s">
        <v>1476</v>
      </c>
      <c r="N198" s="541">
        <v>0</v>
      </c>
      <c r="O198" s="541">
        <v>0</v>
      </c>
      <c r="P198" s="541">
        <v>0</v>
      </c>
      <c r="Q198" s="541">
        <v>0</v>
      </c>
      <c r="R198" s="541">
        <v>0</v>
      </c>
      <c r="S198" s="542" t="s">
        <v>1476</v>
      </c>
      <c r="T198" s="541">
        <v>32262.5</v>
      </c>
      <c r="U198" s="541">
        <v>32262.5</v>
      </c>
      <c r="V198" s="541">
        <v>32262.5</v>
      </c>
      <c r="W198" s="541">
        <v>32262.5</v>
      </c>
      <c r="X198" s="543" t="s">
        <v>1476</v>
      </c>
      <c r="Y198" s="541">
        <v>0</v>
      </c>
      <c r="Z198" s="541">
        <v>19593</v>
      </c>
      <c r="AA198" s="541">
        <v>0</v>
      </c>
      <c r="AB198" s="541">
        <v>0</v>
      </c>
      <c r="AC198" s="541">
        <v>0</v>
      </c>
      <c r="AD198" s="541">
        <v>0</v>
      </c>
      <c r="AE198" s="541">
        <v>0</v>
      </c>
      <c r="AF198" s="541">
        <v>0</v>
      </c>
      <c r="AG198" s="541">
        <v>0</v>
      </c>
      <c r="AH198" s="541">
        <v>64912</v>
      </c>
      <c r="AI198" s="541">
        <v>0</v>
      </c>
      <c r="AJ198" s="541">
        <v>0</v>
      </c>
      <c r="AK198" s="541">
        <v>0</v>
      </c>
      <c r="AL198" s="541">
        <v>0</v>
      </c>
      <c r="AM198" s="541">
        <v>0</v>
      </c>
      <c r="AN198" s="541">
        <v>0</v>
      </c>
      <c r="AO198" s="541">
        <v>0</v>
      </c>
      <c r="AP198" s="541">
        <v>0</v>
      </c>
      <c r="AQ198" s="541">
        <v>0</v>
      </c>
      <c r="AR198" s="541">
        <v>0</v>
      </c>
      <c r="AS198" s="541">
        <v>0</v>
      </c>
      <c r="AT198" s="543">
        <v>13930</v>
      </c>
      <c r="AU198" s="541">
        <v>0</v>
      </c>
      <c r="AV198" s="541">
        <v>2775.9375</v>
      </c>
      <c r="AW198" s="541">
        <v>0</v>
      </c>
      <c r="AX198" s="541">
        <v>6525</v>
      </c>
      <c r="AY198" s="541">
        <v>2775.9375</v>
      </c>
      <c r="AZ198" s="541">
        <v>0</v>
      </c>
      <c r="BA198" s="541">
        <v>0</v>
      </c>
      <c r="BB198" s="541">
        <v>0</v>
      </c>
      <c r="BC198" s="544">
        <v>280660.83149999997</v>
      </c>
      <c r="BD198" s="544">
        <v>280660.83149999997</v>
      </c>
      <c r="BE198" s="511"/>
      <c r="BF198" s="565">
        <v>239561.875</v>
      </c>
      <c r="BG198" s="565">
        <v>41098.9565</v>
      </c>
      <c r="BH198" s="565">
        <v>0</v>
      </c>
      <c r="BI198" s="565">
        <v>0</v>
      </c>
      <c r="BJ198" s="565">
        <v>280660.83149999997</v>
      </c>
      <c r="BK198" s="565">
        <v>0</v>
      </c>
      <c r="BL198" s="511"/>
      <c r="BM198" s="565">
        <v>129050</v>
      </c>
      <c r="BN198" s="565">
        <v>0</v>
      </c>
    </row>
    <row r="199" spans="1:66" ht="13.2" x14ac:dyDescent="0.25">
      <c r="A199" s="515" t="s">
        <v>614</v>
      </c>
      <c r="B199" s="517">
        <v>3421</v>
      </c>
      <c r="C199" s="517" t="s">
        <v>493</v>
      </c>
      <c r="D199" s="517" t="s">
        <v>36</v>
      </c>
      <c r="E199" s="518" t="s">
        <v>812</v>
      </c>
      <c r="F199" s="540"/>
      <c r="G199" s="540"/>
      <c r="H199" s="540"/>
      <c r="I199" s="540">
        <v>13499.476250000002</v>
      </c>
      <c r="J199" s="540">
        <v>4862.7480000000005</v>
      </c>
      <c r="K199" s="540">
        <v>5524.6260000000002</v>
      </c>
      <c r="L199" s="541">
        <v>2081</v>
      </c>
      <c r="M199" s="541" t="s">
        <v>1476</v>
      </c>
      <c r="N199" s="541">
        <v>0</v>
      </c>
      <c r="O199" s="541">
        <v>0</v>
      </c>
      <c r="P199" s="541">
        <v>0</v>
      </c>
      <c r="Q199" s="541">
        <v>0</v>
      </c>
      <c r="R199" s="541">
        <v>0</v>
      </c>
      <c r="S199" s="542" t="s">
        <v>1476</v>
      </c>
      <c r="T199" s="541">
        <v>85062.5</v>
      </c>
      <c r="U199" s="541">
        <v>85062.5</v>
      </c>
      <c r="V199" s="541">
        <v>85062.5</v>
      </c>
      <c r="W199" s="541">
        <v>85062.5</v>
      </c>
      <c r="X199" s="543" t="s">
        <v>1476</v>
      </c>
      <c r="Y199" s="541">
        <v>0</v>
      </c>
      <c r="Z199" s="541">
        <v>23189</v>
      </c>
      <c r="AA199" s="541">
        <v>0</v>
      </c>
      <c r="AB199" s="541">
        <v>0</v>
      </c>
      <c r="AC199" s="541">
        <v>0</v>
      </c>
      <c r="AD199" s="541">
        <v>0</v>
      </c>
      <c r="AE199" s="541">
        <v>0</v>
      </c>
      <c r="AF199" s="541">
        <v>0</v>
      </c>
      <c r="AG199" s="541">
        <v>0</v>
      </c>
      <c r="AH199" s="541">
        <v>86179</v>
      </c>
      <c r="AI199" s="541">
        <v>0</v>
      </c>
      <c r="AJ199" s="541">
        <v>0</v>
      </c>
      <c r="AK199" s="541">
        <v>0</v>
      </c>
      <c r="AL199" s="541">
        <v>0</v>
      </c>
      <c r="AM199" s="541">
        <v>0</v>
      </c>
      <c r="AN199" s="541">
        <v>0</v>
      </c>
      <c r="AO199" s="541">
        <v>0</v>
      </c>
      <c r="AP199" s="541">
        <v>178.5</v>
      </c>
      <c r="AQ199" s="541">
        <v>0</v>
      </c>
      <c r="AR199" s="541">
        <v>1200</v>
      </c>
      <c r="AS199" s="541">
        <v>0</v>
      </c>
      <c r="AT199" s="543">
        <v>27800</v>
      </c>
      <c r="AU199" s="541">
        <v>0</v>
      </c>
      <c r="AV199" s="541">
        <v>8091.5625000000009</v>
      </c>
      <c r="AW199" s="541">
        <v>0</v>
      </c>
      <c r="AX199" s="541">
        <v>18270</v>
      </c>
      <c r="AY199" s="541">
        <v>8091.5625000000009</v>
      </c>
      <c r="AZ199" s="541">
        <v>0</v>
      </c>
      <c r="BA199" s="541">
        <v>0</v>
      </c>
      <c r="BB199" s="541">
        <v>0</v>
      </c>
      <c r="BC199" s="544">
        <v>539217.47525000002</v>
      </c>
      <c r="BD199" s="544">
        <v>539217.47525000002</v>
      </c>
      <c r="BE199" s="511"/>
      <c r="BF199" s="565">
        <v>513249.625</v>
      </c>
      <c r="BG199" s="565">
        <v>25967.850250000003</v>
      </c>
      <c r="BH199" s="565">
        <v>0</v>
      </c>
      <c r="BI199" s="565">
        <v>0</v>
      </c>
      <c r="BJ199" s="565">
        <v>539217.47525000002</v>
      </c>
      <c r="BK199" s="565">
        <v>0</v>
      </c>
      <c r="BL199" s="511"/>
      <c r="BM199" s="565">
        <v>340250</v>
      </c>
      <c r="BN199" s="565">
        <v>0</v>
      </c>
    </row>
    <row r="200" spans="1:66" ht="13.2" x14ac:dyDescent="0.25">
      <c r="A200" s="515" t="s">
        <v>618</v>
      </c>
      <c r="B200" s="517">
        <v>2227</v>
      </c>
      <c r="C200" s="517" t="s">
        <v>495</v>
      </c>
      <c r="D200" s="517" t="s">
        <v>36</v>
      </c>
      <c r="E200" s="518" t="s">
        <v>813</v>
      </c>
      <c r="F200" s="540"/>
      <c r="G200" s="540"/>
      <c r="H200" s="540"/>
      <c r="I200" s="540">
        <v>5345.2970833333338</v>
      </c>
      <c r="J200" s="540">
        <v>5575.357</v>
      </c>
      <c r="K200" s="540">
        <v>10506.51525</v>
      </c>
      <c r="L200" s="541">
        <v>4000</v>
      </c>
      <c r="M200" s="541" t="s">
        <v>1476</v>
      </c>
      <c r="N200" s="541">
        <v>0</v>
      </c>
      <c r="O200" s="541">
        <v>0</v>
      </c>
      <c r="P200" s="541">
        <v>0</v>
      </c>
      <c r="Q200" s="541">
        <v>0</v>
      </c>
      <c r="R200" s="541">
        <v>0</v>
      </c>
      <c r="S200" s="542" t="s">
        <v>1476</v>
      </c>
      <c r="T200" s="541">
        <v>75320</v>
      </c>
      <c r="U200" s="541">
        <v>75320</v>
      </c>
      <c r="V200" s="541">
        <v>74983.75</v>
      </c>
      <c r="W200" s="541">
        <v>74311.25</v>
      </c>
      <c r="X200" s="543" t="s">
        <v>1476</v>
      </c>
      <c r="Y200" s="541">
        <v>0</v>
      </c>
      <c r="Z200" s="541">
        <v>19266</v>
      </c>
      <c r="AA200" s="541">
        <v>0</v>
      </c>
      <c r="AB200" s="541">
        <v>0</v>
      </c>
      <c r="AC200" s="541">
        <v>0</v>
      </c>
      <c r="AD200" s="541">
        <v>0</v>
      </c>
      <c r="AE200" s="541">
        <v>0</v>
      </c>
      <c r="AF200" s="541">
        <v>0</v>
      </c>
      <c r="AG200" s="541">
        <v>0</v>
      </c>
      <c r="AH200" s="541">
        <v>30270</v>
      </c>
      <c r="AI200" s="541">
        <v>6245</v>
      </c>
      <c r="AJ200" s="541">
        <v>2210</v>
      </c>
      <c r="AK200" s="541">
        <v>0</v>
      </c>
      <c r="AL200" s="541">
        <v>0</v>
      </c>
      <c r="AM200" s="541">
        <v>0</v>
      </c>
      <c r="AN200" s="541">
        <v>0</v>
      </c>
      <c r="AO200" s="541">
        <v>0</v>
      </c>
      <c r="AP200" s="541">
        <v>7140</v>
      </c>
      <c r="AQ200" s="541">
        <v>0</v>
      </c>
      <c r="AR200" s="541">
        <v>0</v>
      </c>
      <c r="AS200" s="541">
        <v>0</v>
      </c>
      <c r="AT200" s="543">
        <v>12760</v>
      </c>
      <c r="AU200" s="541">
        <v>0</v>
      </c>
      <c r="AV200" s="541">
        <v>6910.3125</v>
      </c>
      <c r="AW200" s="541">
        <v>0</v>
      </c>
      <c r="AX200" s="541">
        <v>16167.5</v>
      </c>
      <c r="AY200" s="541">
        <v>6910.3125</v>
      </c>
      <c r="AZ200" s="541">
        <v>0</v>
      </c>
      <c r="BA200" s="541">
        <v>0</v>
      </c>
      <c r="BB200" s="541">
        <v>0</v>
      </c>
      <c r="BC200" s="544">
        <v>433241.29433333332</v>
      </c>
      <c r="BD200" s="544">
        <v>433241.29433333332</v>
      </c>
      <c r="BE200" s="511"/>
      <c r="BF200" s="565">
        <v>407814.125</v>
      </c>
      <c r="BG200" s="565">
        <v>25427.169333333335</v>
      </c>
      <c r="BH200" s="565">
        <v>0</v>
      </c>
      <c r="BI200" s="565">
        <v>0</v>
      </c>
      <c r="BJ200" s="565">
        <v>433241.29433333332</v>
      </c>
      <c r="BK200" s="565">
        <v>0</v>
      </c>
      <c r="BL200" s="511"/>
      <c r="BM200" s="565">
        <v>299935</v>
      </c>
      <c r="BN200" s="565">
        <v>0</v>
      </c>
    </row>
    <row r="201" spans="1:66" ht="13.2" x14ac:dyDescent="0.25">
      <c r="A201" s="515" t="s">
        <v>618</v>
      </c>
      <c r="B201" s="517">
        <v>2231</v>
      </c>
      <c r="C201" s="517" t="s">
        <v>497</v>
      </c>
      <c r="D201" s="517" t="s">
        <v>36</v>
      </c>
      <c r="E201" s="518" t="s">
        <v>814</v>
      </c>
      <c r="F201" s="540"/>
      <c r="G201" s="540"/>
      <c r="H201" s="540"/>
      <c r="I201" s="540">
        <v>2852.0449999999996</v>
      </c>
      <c r="J201" s="540">
        <v>7909.9693333333325</v>
      </c>
      <c r="K201" s="540">
        <v>7182.4745000000003</v>
      </c>
      <c r="L201" s="541">
        <v>0</v>
      </c>
      <c r="M201" s="541" t="s">
        <v>1476</v>
      </c>
      <c r="N201" s="541">
        <v>0</v>
      </c>
      <c r="O201" s="541">
        <v>0</v>
      </c>
      <c r="P201" s="541">
        <v>0</v>
      </c>
      <c r="Q201" s="541">
        <v>0</v>
      </c>
      <c r="R201" s="541">
        <v>0</v>
      </c>
      <c r="S201" s="542" t="s">
        <v>1476</v>
      </c>
      <c r="T201" s="541">
        <v>42031.25</v>
      </c>
      <c r="U201" s="541">
        <v>42031.25</v>
      </c>
      <c r="V201" s="541">
        <v>42703.75</v>
      </c>
      <c r="W201" s="541">
        <v>44048.75</v>
      </c>
      <c r="X201" s="543" t="s">
        <v>1476</v>
      </c>
      <c r="Y201" s="541">
        <v>0</v>
      </c>
      <c r="Z201" s="541">
        <v>19508</v>
      </c>
      <c r="AA201" s="541">
        <v>0</v>
      </c>
      <c r="AB201" s="541">
        <v>0</v>
      </c>
      <c r="AC201" s="541">
        <v>0</v>
      </c>
      <c r="AD201" s="541">
        <v>0</v>
      </c>
      <c r="AE201" s="541">
        <v>0</v>
      </c>
      <c r="AF201" s="541">
        <v>0</v>
      </c>
      <c r="AG201" s="541">
        <v>0</v>
      </c>
      <c r="AH201" s="541">
        <v>52019</v>
      </c>
      <c r="AI201" s="541">
        <v>5182</v>
      </c>
      <c r="AJ201" s="541">
        <v>1834</v>
      </c>
      <c r="AK201" s="541">
        <v>0</v>
      </c>
      <c r="AL201" s="541">
        <v>0</v>
      </c>
      <c r="AM201" s="541">
        <v>0</v>
      </c>
      <c r="AN201" s="541">
        <v>0</v>
      </c>
      <c r="AO201" s="541">
        <v>0</v>
      </c>
      <c r="AP201" s="541">
        <v>0</v>
      </c>
      <c r="AQ201" s="541">
        <v>0</v>
      </c>
      <c r="AR201" s="541">
        <v>0</v>
      </c>
      <c r="AS201" s="541">
        <v>0</v>
      </c>
      <c r="AT201" s="543">
        <v>13600</v>
      </c>
      <c r="AU201" s="541">
        <v>0</v>
      </c>
      <c r="AV201" s="541">
        <v>4016.2500000000005</v>
      </c>
      <c r="AW201" s="541">
        <v>0</v>
      </c>
      <c r="AX201" s="541">
        <v>9207.5</v>
      </c>
      <c r="AY201" s="541">
        <v>4134.375</v>
      </c>
      <c r="AZ201" s="541">
        <v>0</v>
      </c>
      <c r="BA201" s="541">
        <v>0</v>
      </c>
      <c r="BB201" s="541">
        <v>0</v>
      </c>
      <c r="BC201" s="544">
        <v>298260.61383333337</v>
      </c>
      <c r="BD201" s="544">
        <v>298260.61383333337</v>
      </c>
      <c r="BE201" s="511"/>
      <c r="BF201" s="565">
        <v>280316.125</v>
      </c>
      <c r="BG201" s="565">
        <v>17944.488833333333</v>
      </c>
      <c r="BH201" s="565">
        <v>0</v>
      </c>
      <c r="BI201" s="565">
        <v>0</v>
      </c>
      <c r="BJ201" s="565">
        <v>298260.61383333331</v>
      </c>
      <c r="BK201" s="565">
        <v>0</v>
      </c>
      <c r="BL201" s="511"/>
      <c r="BM201" s="565">
        <v>170815</v>
      </c>
      <c r="BN201" s="565">
        <v>0</v>
      </c>
    </row>
    <row r="202" spans="1:66" ht="13.2" x14ac:dyDescent="0.25">
      <c r="A202" s="511"/>
      <c r="B202" s="511"/>
      <c r="C202" s="511"/>
      <c r="D202" s="517" t="s">
        <v>36</v>
      </c>
      <c r="E202" s="511"/>
      <c r="F202" s="551"/>
      <c r="G202" s="551"/>
      <c r="H202" s="551"/>
      <c r="I202" s="540"/>
      <c r="J202" s="540"/>
      <c r="K202" s="540"/>
      <c r="L202" s="541">
        <v>0</v>
      </c>
      <c r="M202" s="541" t="s">
        <v>1476</v>
      </c>
      <c r="N202" s="541"/>
      <c r="O202" s="541"/>
      <c r="P202" s="541"/>
      <c r="Q202" s="541"/>
      <c r="R202" s="541"/>
      <c r="S202" s="542"/>
      <c r="T202" s="541"/>
      <c r="U202" s="541"/>
      <c r="V202" s="541"/>
      <c r="W202" s="541" t="s">
        <v>1476</v>
      </c>
      <c r="X202" s="543" t="s">
        <v>1476</v>
      </c>
      <c r="Y202" s="541"/>
      <c r="Z202" s="541"/>
      <c r="AA202" s="541"/>
      <c r="AB202" s="541"/>
      <c r="AC202" s="541"/>
      <c r="AD202" s="541"/>
      <c r="AE202" s="541"/>
      <c r="AF202" s="541"/>
      <c r="AG202" s="541"/>
      <c r="AH202" s="541"/>
      <c r="AI202" s="541">
        <v>0</v>
      </c>
      <c r="AJ202" s="541">
        <v>0</v>
      </c>
      <c r="AK202" s="541"/>
      <c r="AL202" s="541"/>
      <c r="AM202" s="541"/>
      <c r="AN202" s="541"/>
      <c r="AO202" s="541"/>
      <c r="AP202" s="541" t="e">
        <v>#N/A</v>
      </c>
      <c r="AQ202" s="541"/>
      <c r="AR202" s="541">
        <v>0</v>
      </c>
      <c r="AS202" s="541"/>
      <c r="AT202" s="543"/>
      <c r="AU202" s="541">
        <v>0</v>
      </c>
      <c r="AV202" s="541"/>
      <c r="AW202" s="541"/>
      <c r="AX202" s="541">
        <v>0</v>
      </c>
      <c r="AY202" s="541"/>
      <c r="AZ202" s="541"/>
      <c r="BA202" s="541"/>
      <c r="BB202" s="541"/>
      <c r="BC202" s="544"/>
      <c r="BD202" s="544"/>
      <c r="BE202" s="511"/>
      <c r="BF202" s="565"/>
      <c r="BG202" s="565">
        <v>0</v>
      </c>
      <c r="BH202" s="565">
        <v>0</v>
      </c>
      <c r="BI202" s="565">
        <v>0</v>
      </c>
      <c r="BJ202" s="565" t="e">
        <v>#N/A</v>
      </c>
      <c r="BK202" s="565"/>
      <c r="BL202" s="511"/>
      <c r="BM202" s="565"/>
      <c r="BN202" s="565"/>
    </row>
    <row r="203" spans="1:66" ht="13.2" x14ac:dyDescent="0.25">
      <c r="A203" s="515" t="s">
        <v>616</v>
      </c>
      <c r="B203" s="517">
        <v>5413</v>
      </c>
      <c r="C203" s="517" t="s">
        <v>499</v>
      </c>
      <c r="D203" s="517" t="s">
        <v>107</v>
      </c>
      <c r="E203" s="518" t="s">
        <v>815</v>
      </c>
      <c r="F203" s="540"/>
      <c r="G203" s="540"/>
      <c r="H203" s="540"/>
      <c r="I203" s="540">
        <v>9512.5962500000005</v>
      </c>
      <c r="J203" s="540">
        <v>9509.0386666666673</v>
      </c>
      <c r="K203" s="540">
        <v>9763.5239999999994</v>
      </c>
      <c r="L203" s="541">
        <v>35704.333333333328</v>
      </c>
      <c r="M203" s="541">
        <v>28568</v>
      </c>
      <c r="N203" s="541">
        <v>0</v>
      </c>
      <c r="O203" s="541">
        <v>0</v>
      </c>
      <c r="P203" s="541">
        <v>0</v>
      </c>
      <c r="Q203" s="541">
        <v>0</v>
      </c>
      <c r="R203" s="541">
        <v>0</v>
      </c>
      <c r="S203" s="542" t="s">
        <v>1476</v>
      </c>
      <c r="T203" s="541">
        <v>79538.125</v>
      </c>
      <c r="U203" s="541">
        <v>79538.125</v>
      </c>
      <c r="V203" s="541">
        <v>79538.125</v>
      </c>
      <c r="W203" s="541">
        <v>79538.125</v>
      </c>
      <c r="X203" s="543">
        <v>59999</v>
      </c>
      <c r="Y203" s="541">
        <v>0</v>
      </c>
      <c r="Z203" s="541">
        <v>0</v>
      </c>
      <c r="AA203" s="541">
        <v>0</v>
      </c>
      <c r="AB203" s="541">
        <v>0</v>
      </c>
      <c r="AC203" s="541">
        <v>0</v>
      </c>
      <c r="AD203" s="541">
        <v>0</v>
      </c>
      <c r="AE203" s="541">
        <v>0</v>
      </c>
      <c r="AF203" s="541">
        <v>0</v>
      </c>
      <c r="AG203" s="541">
        <v>15180</v>
      </c>
      <c r="AH203" s="541">
        <v>0</v>
      </c>
      <c r="AI203" s="541">
        <v>54283</v>
      </c>
      <c r="AJ203" s="541">
        <v>19210</v>
      </c>
      <c r="AK203" s="541">
        <v>0</v>
      </c>
      <c r="AL203" s="541">
        <v>79744</v>
      </c>
      <c r="AM203" s="541">
        <v>0</v>
      </c>
      <c r="AN203" s="541">
        <v>0</v>
      </c>
      <c r="AO203" s="541">
        <v>0</v>
      </c>
      <c r="AP203" s="541">
        <v>0</v>
      </c>
      <c r="AQ203" s="541">
        <v>0</v>
      </c>
      <c r="AR203" s="541">
        <v>0</v>
      </c>
      <c r="AS203" s="541">
        <v>0</v>
      </c>
      <c r="AT203" s="543">
        <v>32450</v>
      </c>
      <c r="AU203" s="541">
        <v>16360</v>
      </c>
      <c r="AV203" s="541">
        <v>15225.0625</v>
      </c>
      <c r="AW203" s="541">
        <v>0</v>
      </c>
      <c r="AX203" s="541">
        <v>23309</v>
      </c>
      <c r="AY203" s="541">
        <v>11399.0625</v>
      </c>
      <c r="AZ203" s="541">
        <v>11300</v>
      </c>
      <c r="BA203" s="541">
        <v>0</v>
      </c>
      <c r="BB203" s="541">
        <v>0</v>
      </c>
      <c r="BC203" s="544">
        <v>749669.11725000001</v>
      </c>
      <c r="BD203" s="544">
        <v>749669.11725000001</v>
      </c>
      <c r="BE203" s="511"/>
      <c r="BF203" s="565">
        <v>576867.625</v>
      </c>
      <c r="BG203" s="565">
        <v>93057.492249999996</v>
      </c>
      <c r="BH203" s="565">
        <v>0</v>
      </c>
      <c r="BI203" s="565">
        <v>79744</v>
      </c>
      <c r="BJ203" s="565">
        <v>749669.11725000001</v>
      </c>
      <c r="BK203" s="565">
        <v>0</v>
      </c>
      <c r="BL203" s="511"/>
      <c r="BM203" s="565">
        <v>318152.5</v>
      </c>
      <c r="BN203" s="565">
        <v>0</v>
      </c>
    </row>
    <row r="204" spans="1:66" ht="13.2" x14ac:dyDescent="0.25">
      <c r="A204" s="515" t="s">
        <v>616</v>
      </c>
      <c r="B204" s="517">
        <v>4115</v>
      </c>
      <c r="C204" s="517" t="s">
        <v>502</v>
      </c>
      <c r="D204" s="517" t="s">
        <v>107</v>
      </c>
      <c r="E204" s="518" t="s">
        <v>816</v>
      </c>
      <c r="F204" s="540"/>
      <c r="G204" s="540"/>
      <c r="H204" s="540"/>
      <c r="I204" s="540">
        <v>9250.685833333333</v>
      </c>
      <c r="J204" s="540">
        <v>13252.457</v>
      </c>
      <c r="K204" s="540">
        <v>7072.5104166666661</v>
      </c>
      <c r="L204" s="541">
        <v>21316.666666666668</v>
      </c>
      <c r="M204" s="541">
        <v>39281</v>
      </c>
      <c r="N204" s="541">
        <v>0</v>
      </c>
      <c r="O204" s="541">
        <v>0</v>
      </c>
      <c r="P204" s="541">
        <v>0</v>
      </c>
      <c r="Q204" s="541">
        <v>61628</v>
      </c>
      <c r="R204" s="541">
        <v>49302.30328224277</v>
      </c>
      <c r="S204" s="542">
        <v>74920.28</v>
      </c>
      <c r="T204" s="541">
        <v>75922.5</v>
      </c>
      <c r="U204" s="541">
        <v>75922.5</v>
      </c>
      <c r="V204" s="541">
        <v>75683.75</v>
      </c>
      <c r="W204" s="541">
        <v>75206.25</v>
      </c>
      <c r="X204" s="543">
        <v>21171.87</v>
      </c>
      <c r="Y204" s="541">
        <v>0</v>
      </c>
      <c r="Z204" s="541">
        <v>0</v>
      </c>
      <c r="AA204" s="541">
        <v>0</v>
      </c>
      <c r="AB204" s="541">
        <v>0</v>
      </c>
      <c r="AC204" s="541">
        <v>0</v>
      </c>
      <c r="AD204" s="541">
        <v>27525</v>
      </c>
      <c r="AE204" s="541">
        <v>0</v>
      </c>
      <c r="AF204" s="541">
        <v>0</v>
      </c>
      <c r="AG204" s="541">
        <v>0</v>
      </c>
      <c r="AH204" s="541">
        <v>0</v>
      </c>
      <c r="AI204" s="541">
        <v>71525</v>
      </c>
      <c r="AJ204" s="541">
        <v>25312</v>
      </c>
      <c r="AK204" s="541">
        <v>0</v>
      </c>
      <c r="AL204" s="541">
        <v>39944</v>
      </c>
      <c r="AM204" s="541">
        <v>0</v>
      </c>
      <c r="AN204" s="541">
        <v>0</v>
      </c>
      <c r="AO204" s="541">
        <v>0</v>
      </c>
      <c r="AP204" s="541">
        <v>9990</v>
      </c>
      <c r="AQ204" s="541">
        <v>0</v>
      </c>
      <c r="AR204" s="541">
        <v>0</v>
      </c>
      <c r="AS204" s="541">
        <v>0</v>
      </c>
      <c r="AT204" s="543">
        <v>22200</v>
      </c>
      <c r="AU204" s="541">
        <v>16360</v>
      </c>
      <c r="AV204" s="541">
        <v>11471.25</v>
      </c>
      <c r="AW204" s="541">
        <v>0</v>
      </c>
      <c r="AX204" s="541">
        <v>23269</v>
      </c>
      <c r="AY204" s="541">
        <v>11353.125</v>
      </c>
      <c r="AZ204" s="541">
        <v>10180</v>
      </c>
      <c r="BA204" s="541">
        <v>0</v>
      </c>
      <c r="BB204" s="541">
        <v>0</v>
      </c>
      <c r="BC204" s="544">
        <v>869060.14819890948</v>
      </c>
      <c r="BD204" s="544">
        <v>869060.14819890948</v>
      </c>
      <c r="BE204" s="511"/>
      <c r="BF204" s="565">
        <v>525567.245</v>
      </c>
      <c r="BG204" s="565">
        <v>276023.90319890942</v>
      </c>
      <c r="BH204" s="565">
        <v>27525</v>
      </c>
      <c r="BI204" s="565">
        <v>39944</v>
      </c>
      <c r="BJ204" s="565">
        <v>869060.14819890936</v>
      </c>
      <c r="BK204" s="565">
        <v>0</v>
      </c>
      <c r="BL204" s="511"/>
      <c r="BM204" s="565">
        <v>302735</v>
      </c>
      <c r="BN204" s="565">
        <v>185850.58328224276</v>
      </c>
    </row>
    <row r="205" spans="1:66" ht="13.2" x14ac:dyDescent="0.25">
      <c r="A205" s="515" t="s">
        <v>616</v>
      </c>
      <c r="B205" s="517">
        <v>4801</v>
      </c>
      <c r="C205" s="517" t="s">
        <v>504</v>
      </c>
      <c r="D205" s="517" t="s">
        <v>107</v>
      </c>
      <c r="E205" s="518" t="s">
        <v>817</v>
      </c>
      <c r="F205" s="540"/>
      <c r="G205" s="540"/>
      <c r="H205" s="540"/>
      <c r="I205" s="540">
        <v>0</v>
      </c>
      <c r="J205" s="540">
        <v>5455.8829999999998</v>
      </c>
      <c r="K205" s="540">
        <v>10033.135249999999</v>
      </c>
      <c r="L205" s="541">
        <v>14666.666666666666</v>
      </c>
      <c r="M205" s="541">
        <v>21426</v>
      </c>
      <c r="N205" s="541">
        <v>0</v>
      </c>
      <c r="O205" s="541">
        <v>0</v>
      </c>
      <c r="P205" s="541">
        <v>0</v>
      </c>
      <c r="Q205" s="541">
        <v>0</v>
      </c>
      <c r="R205" s="541">
        <v>0</v>
      </c>
      <c r="S205" s="542" t="s">
        <v>1476</v>
      </c>
      <c r="T205" s="541">
        <v>89478.75</v>
      </c>
      <c r="U205" s="541">
        <v>89478.75</v>
      </c>
      <c r="V205" s="541">
        <v>89478.75</v>
      </c>
      <c r="W205" s="541">
        <v>89478.75</v>
      </c>
      <c r="X205" s="543">
        <v>32913.07</v>
      </c>
      <c r="Y205" s="541">
        <v>0</v>
      </c>
      <c r="Z205" s="541">
        <v>0</v>
      </c>
      <c r="AA205" s="541">
        <v>0</v>
      </c>
      <c r="AB205" s="541">
        <v>0</v>
      </c>
      <c r="AC205" s="541">
        <v>0</v>
      </c>
      <c r="AD205" s="541">
        <v>0</v>
      </c>
      <c r="AE205" s="541">
        <v>0</v>
      </c>
      <c r="AF205" s="541">
        <v>0</v>
      </c>
      <c r="AG205" s="541">
        <v>0</v>
      </c>
      <c r="AH205" s="541">
        <v>0</v>
      </c>
      <c r="AI205" s="541">
        <v>0</v>
      </c>
      <c r="AJ205" s="541">
        <v>0</v>
      </c>
      <c r="AK205" s="541">
        <v>0</v>
      </c>
      <c r="AL205" s="541">
        <v>0</v>
      </c>
      <c r="AM205" s="541">
        <v>0</v>
      </c>
      <c r="AN205" s="541">
        <v>0</v>
      </c>
      <c r="AO205" s="541">
        <v>0</v>
      </c>
      <c r="AP205" s="541">
        <v>0</v>
      </c>
      <c r="AQ205" s="541">
        <v>0</v>
      </c>
      <c r="AR205" s="541">
        <v>0</v>
      </c>
      <c r="AS205" s="541">
        <v>0</v>
      </c>
      <c r="AT205" s="543">
        <v>23200</v>
      </c>
      <c r="AU205" s="541">
        <v>13610</v>
      </c>
      <c r="AV205" s="541">
        <v>21520</v>
      </c>
      <c r="AW205" s="541">
        <v>0</v>
      </c>
      <c r="AX205" s="541">
        <v>27042.5</v>
      </c>
      <c r="AY205" s="541">
        <v>13230</v>
      </c>
      <c r="AZ205" s="541">
        <v>10180</v>
      </c>
      <c r="BA205" s="541">
        <v>0</v>
      </c>
      <c r="BB205" s="541">
        <v>0</v>
      </c>
      <c r="BC205" s="544">
        <v>551192.25491666666</v>
      </c>
      <c r="BD205" s="544">
        <v>551192.25491666666</v>
      </c>
      <c r="BE205" s="511"/>
      <c r="BF205" s="565">
        <v>499610.57</v>
      </c>
      <c r="BG205" s="565">
        <v>51581.684916666665</v>
      </c>
      <c r="BH205" s="565">
        <v>0</v>
      </c>
      <c r="BI205" s="565">
        <v>0</v>
      </c>
      <c r="BJ205" s="565">
        <v>551192.25491666666</v>
      </c>
      <c r="BK205" s="565">
        <v>0</v>
      </c>
      <c r="BL205" s="511"/>
      <c r="BM205" s="565">
        <v>357915</v>
      </c>
      <c r="BN205" s="565">
        <v>0</v>
      </c>
    </row>
    <row r="206" spans="1:66" ht="13.2" x14ac:dyDescent="0.25">
      <c r="A206" s="515" t="s">
        <v>616</v>
      </c>
      <c r="B206" s="517">
        <v>5416</v>
      </c>
      <c r="C206" s="517" t="s">
        <v>506</v>
      </c>
      <c r="D206" s="517" t="s">
        <v>107</v>
      </c>
      <c r="E206" s="518" t="s">
        <v>818</v>
      </c>
      <c r="F206" s="540"/>
      <c r="G206" s="540"/>
      <c r="H206" s="540"/>
      <c r="I206" s="540">
        <v>6843.6687499999998</v>
      </c>
      <c r="J206" s="540">
        <v>9591.5803333333333</v>
      </c>
      <c r="K206" s="540">
        <v>15819.258166666667</v>
      </c>
      <c r="L206" s="541">
        <v>0</v>
      </c>
      <c r="M206" s="541">
        <v>32139</v>
      </c>
      <c r="N206" s="541">
        <v>0</v>
      </c>
      <c r="O206" s="541">
        <v>0</v>
      </c>
      <c r="P206" s="541">
        <v>0</v>
      </c>
      <c r="Q206" s="541">
        <v>0</v>
      </c>
      <c r="R206" s="541">
        <v>0</v>
      </c>
      <c r="S206" s="542" t="s">
        <v>1476</v>
      </c>
      <c r="T206" s="541">
        <v>131138.75</v>
      </c>
      <c r="U206" s="541">
        <v>131138.75</v>
      </c>
      <c r="V206" s="541">
        <v>131138.75</v>
      </c>
      <c r="W206" s="541">
        <v>131138.75</v>
      </c>
      <c r="X206" s="543">
        <v>61754</v>
      </c>
      <c r="Y206" s="541">
        <v>0</v>
      </c>
      <c r="Z206" s="541">
        <v>0</v>
      </c>
      <c r="AA206" s="541">
        <v>0</v>
      </c>
      <c r="AB206" s="541">
        <v>0</v>
      </c>
      <c r="AC206" s="541">
        <v>0</v>
      </c>
      <c r="AD206" s="541">
        <v>0</v>
      </c>
      <c r="AE206" s="541">
        <v>0</v>
      </c>
      <c r="AF206" s="541">
        <v>0</v>
      </c>
      <c r="AG206" s="541">
        <v>0</v>
      </c>
      <c r="AH206" s="541">
        <v>0</v>
      </c>
      <c r="AI206" s="541">
        <v>17502</v>
      </c>
      <c r="AJ206" s="541">
        <v>6194</v>
      </c>
      <c r="AK206" s="541">
        <v>0</v>
      </c>
      <c r="AL206" s="541">
        <v>4326</v>
      </c>
      <c r="AM206" s="541">
        <v>0</v>
      </c>
      <c r="AN206" s="541">
        <v>0</v>
      </c>
      <c r="AO206" s="541">
        <v>0</v>
      </c>
      <c r="AP206" s="541">
        <v>12240</v>
      </c>
      <c r="AQ206" s="541">
        <v>0</v>
      </c>
      <c r="AR206" s="541">
        <v>0</v>
      </c>
      <c r="AS206" s="541">
        <v>0</v>
      </c>
      <c r="AT206" s="543">
        <v>36560</v>
      </c>
      <c r="AU206" s="541">
        <v>17820</v>
      </c>
      <c r="AV206" s="541">
        <v>25671.13</v>
      </c>
      <c r="AW206" s="541">
        <v>0</v>
      </c>
      <c r="AX206" s="541">
        <v>39657.5</v>
      </c>
      <c r="AY206" s="541">
        <v>19372.5</v>
      </c>
      <c r="AZ206" s="541">
        <v>10180</v>
      </c>
      <c r="BA206" s="541">
        <v>0</v>
      </c>
      <c r="BB206" s="541">
        <v>0</v>
      </c>
      <c r="BC206" s="544">
        <v>840225.63725000003</v>
      </c>
      <c r="BD206" s="544">
        <v>840225.63725000003</v>
      </c>
      <c r="BE206" s="511"/>
      <c r="BF206" s="565">
        <v>771506.13</v>
      </c>
      <c r="BG206" s="565">
        <v>64393.507249999995</v>
      </c>
      <c r="BH206" s="565">
        <v>0</v>
      </c>
      <c r="BI206" s="565">
        <v>4326</v>
      </c>
      <c r="BJ206" s="565">
        <v>840225.63725000003</v>
      </c>
      <c r="BK206" s="565">
        <v>0</v>
      </c>
      <c r="BL206" s="511"/>
      <c r="BM206" s="565">
        <v>524555</v>
      </c>
      <c r="BN206" s="565">
        <v>0</v>
      </c>
    </row>
    <row r="207" spans="1:66" ht="13.2" x14ac:dyDescent="0.25">
      <c r="A207" s="515" t="s">
        <v>616</v>
      </c>
      <c r="B207" s="517">
        <v>4015</v>
      </c>
      <c r="C207" s="517" t="s">
        <v>510</v>
      </c>
      <c r="D207" s="517" t="s">
        <v>107</v>
      </c>
      <c r="E207" s="518" t="s">
        <v>819</v>
      </c>
      <c r="F207" s="540"/>
      <c r="G207" s="540"/>
      <c r="H207" s="540"/>
      <c r="I207" s="540">
        <v>10687.726666666666</v>
      </c>
      <c r="J207" s="540">
        <v>12779.331666666667</v>
      </c>
      <c r="K207" s="540">
        <v>12084.497250000002</v>
      </c>
      <c r="L207" s="541">
        <v>0</v>
      </c>
      <c r="M207" s="541">
        <v>28568</v>
      </c>
      <c r="N207" s="541">
        <v>0</v>
      </c>
      <c r="O207" s="541">
        <v>0</v>
      </c>
      <c r="P207" s="541">
        <v>0</v>
      </c>
      <c r="Q207" s="541">
        <v>0</v>
      </c>
      <c r="R207" s="541">
        <v>0</v>
      </c>
      <c r="S207" s="542" t="s">
        <v>1476</v>
      </c>
      <c r="T207" s="541">
        <v>76638.75</v>
      </c>
      <c r="U207" s="541">
        <v>76638.75</v>
      </c>
      <c r="V207" s="541">
        <v>76638.75</v>
      </c>
      <c r="W207" s="541">
        <v>76638.75</v>
      </c>
      <c r="X207" s="543" t="s">
        <v>1476</v>
      </c>
      <c r="Y207" s="541">
        <v>0</v>
      </c>
      <c r="Z207" s="541">
        <v>0</v>
      </c>
      <c r="AA207" s="541">
        <v>0</v>
      </c>
      <c r="AB207" s="541">
        <v>0</v>
      </c>
      <c r="AC207" s="541">
        <v>0</v>
      </c>
      <c r="AD207" s="541">
        <v>0</v>
      </c>
      <c r="AE207" s="541">
        <v>0</v>
      </c>
      <c r="AF207" s="541">
        <v>0</v>
      </c>
      <c r="AG207" s="541">
        <v>0</v>
      </c>
      <c r="AH207" s="541">
        <v>0</v>
      </c>
      <c r="AI207" s="541">
        <v>0</v>
      </c>
      <c r="AJ207" s="541">
        <v>0</v>
      </c>
      <c r="AK207" s="541">
        <v>0</v>
      </c>
      <c r="AL207" s="541">
        <v>0</v>
      </c>
      <c r="AM207" s="541">
        <v>0</v>
      </c>
      <c r="AN207" s="541">
        <v>0</v>
      </c>
      <c r="AO207" s="541">
        <v>0</v>
      </c>
      <c r="AP207" s="541">
        <v>0</v>
      </c>
      <c r="AQ207" s="541">
        <v>0</v>
      </c>
      <c r="AR207" s="541">
        <v>1200</v>
      </c>
      <c r="AS207" s="541">
        <v>0</v>
      </c>
      <c r="AT207" s="543">
        <v>24960</v>
      </c>
      <c r="AU207" s="541">
        <v>14800</v>
      </c>
      <c r="AV207" s="541">
        <v>19689.0625</v>
      </c>
      <c r="AW207" s="541">
        <v>0</v>
      </c>
      <c r="AX207" s="541">
        <v>23272.5</v>
      </c>
      <c r="AY207" s="541">
        <v>11399.0625</v>
      </c>
      <c r="AZ207" s="541">
        <v>9060</v>
      </c>
      <c r="BA207" s="541">
        <v>0</v>
      </c>
      <c r="BB207" s="541">
        <v>0</v>
      </c>
      <c r="BC207" s="544">
        <v>475055.18058333336</v>
      </c>
      <c r="BD207" s="544">
        <v>475055.18058333336</v>
      </c>
      <c r="BE207" s="511"/>
      <c r="BF207" s="565">
        <v>410935.625</v>
      </c>
      <c r="BG207" s="565">
        <v>64119.555583333335</v>
      </c>
      <c r="BH207" s="565">
        <v>0</v>
      </c>
      <c r="BI207" s="565">
        <v>0</v>
      </c>
      <c r="BJ207" s="565">
        <v>475055.18058333336</v>
      </c>
      <c r="BK207" s="565">
        <v>0</v>
      </c>
      <c r="BL207" s="511"/>
      <c r="BM207" s="565">
        <v>306555</v>
      </c>
      <c r="BN207" s="565">
        <v>0</v>
      </c>
    </row>
    <row r="208" spans="1:66" ht="13.2" x14ac:dyDescent="0.25">
      <c r="A208" s="515" t="s">
        <v>616</v>
      </c>
      <c r="B208" s="517">
        <v>4201</v>
      </c>
      <c r="C208" s="517" t="s">
        <v>508</v>
      </c>
      <c r="D208" s="517" t="s">
        <v>107</v>
      </c>
      <c r="E208" s="518" t="s">
        <v>820</v>
      </c>
      <c r="F208" s="540"/>
      <c r="G208" s="540"/>
      <c r="H208" s="540"/>
      <c r="I208" s="540">
        <v>6078.4073214285709</v>
      </c>
      <c r="J208" s="540">
        <v>3426.6771904761908</v>
      </c>
      <c r="K208" s="540">
        <v>2054.241</v>
      </c>
      <c r="L208" s="541">
        <v>0</v>
      </c>
      <c r="M208" s="541" t="s">
        <v>1476</v>
      </c>
      <c r="N208" s="541">
        <v>0</v>
      </c>
      <c r="O208" s="541">
        <v>0</v>
      </c>
      <c r="P208" s="541">
        <v>0</v>
      </c>
      <c r="Q208" s="541">
        <v>0</v>
      </c>
      <c r="R208" s="541">
        <v>0</v>
      </c>
      <c r="S208" s="542" t="s">
        <v>1476</v>
      </c>
      <c r="T208" s="541">
        <v>139419.375</v>
      </c>
      <c r="U208" s="541">
        <v>139419.375</v>
      </c>
      <c r="V208" s="541">
        <v>138941.875</v>
      </c>
      <c r="W208" s="541">
        <v>137986.875</v>
      </c>
      <c r="X208" s="543">
        <v>11155.94</v>
      </c>
      <c r="Y208" s="541">
        <v>0</v>
      </c>
      <c r="Z208" s="541">
        <v>0</v>
      </c>
      <c r="AA208" s="541">
        <v>0</v>
      </c>
      <c r="AB208" s="541">
        <v>0</v>
      </c>
      <c r="AC208" s="541">
        <v>0</v>
      </c>
      <c r="AD208" s="541">
        <v>0</v>
      </c>
      <c r="AE208" s="541">
        <v>0</v>
      </c>
      <c r="AF208" s="541">
        <v>0</v>
      </c>
      <c r="AG208" s="541">
        <v>0</v>
      </c>
      <c r="AH208" s="541">
        <v>0</v>
      </c>
      <c r="AI208" s="541">
        <v>0</v>
      </c>
      <c r="AJ208" s="541">
        <v>0</v>
      </c>
      <c r="AK208" s="541">
        <v>0</v>
      </c>
      <c r="AL208" s="541">
        <v>0</v>
      </c>
      <c r="AM208" s="541">
        <v>0</v>
      </c>
      <c r="AN208" s="541">
        <v>0</v>
      </c>
      <c r="AO208" s="541">
        <v>0</v>
      </c>
      <c r="AP208" s="541">
        <v>0</v>
      </c>
      <c r="AQ208" s="541">
        <v>0</v>
      </c>
      <c r="AR208" s="541">
        <v>1200</v>
      </c>
      <c r="AS208" s="541">
        <v>0</v>
      </c>
      <c r="AT208" s="543">
        <v>40080</v>
      </c>
      <c r="AU208" s="541">
        <v>15170</v>
      </c>
      <c r="AV208" s="541">
        <v>20671.875</v>
      </c>
      <c r="AW208" s="541">
        <v>0</v>
      </c>
      <c r="AX208" s="541">
        <v>42086.5</v>
      </c>
      <c r="AY208" s="541">
        <v>20435.625</v>
      </c>
      <c r="AZ208" s="541">
        <v>10180</v>
      </c>
      <c r="BA208" s="541">
        <v>0</v>
      </c>
      <c r="BB208" s="541">
        <v>0</v>
      </c>
      <c r="BC208" s="544">
        <v>728306.76551190473</v>
      </c>
      <c r="BD208" s="544">
        <v>728306.76551190473</v>
      </c>
      <c r="BE208" s="511"/>
      <c r="BF208" s="565">
        <v>716747.44</v>
      </c>
      <c r="BG208" s="565">
        <v>11559.325511904763</v>
      </c>
      <c r="BH208" s="565">
        <v>0</v>
      </c>
      <c r="BI208" s="565">
        <v>0</v>
      </c>
      <c r="BJ208" s="565">
        <v>728306.76551190473</v>
      </c>
      <c r="BK208" s="565">
        <v>0</v>
      </c>
      <c r="BL208" s="511"/>
      <c r="BM208" s="565">
        <v>555767.5</v>
      </c>
      <c r="BN208" s="565">
        <v>0</v>
      </c>
    </row>
    <row r="209" spans="1:66" ht="13.2" x14ac:dyDescent="0.25">
      <c r="A209" s="515" t="s">
        <v>616</v>
      </c>
      <c r="B209" s="517">
        <v>4223</v>
      </c>
      <c r="C209" s="517" t="s">
        <v>512</v>
      </c>
      <c r="D209" s="517" t="s">
        <v>107</v>
      </c>
      <c r="E209" s="518" t="s">
        <v>821</v>
      </c>
      <c r="F209" s="540"/>
      <c r="G209" s="540"/>
      <c r="H209" s="540"/>
      <c r="I209" s="540">
        <v>25144.829583333336</v>
      </c>
      <c r="J209" s="540">
        <v>12273.748</v>
      </c>
      <c r="K209" s="540">
        <v>11370.078833333335</v>
      </c>
      <c r="L209" s="541">
        <v>20824.333333333332</v>
      </c>
      <c r="M209" s="541">
        <v>35710</v>
      </c>
      <c r="N209" s="541">
        <v>0</v>
      </c>
      <c r="O209" s="541">
        <v>0</v>
      </c>
      <c r="P209" s="541">
        <v>0</v>
      </c>
      <c r="Q209" s="541">
        <v>0</v>
      </c>
      <c r="R209" s="541">
        <v>0</v>
      </c>
      <c r="S209" s="542" t="s">
        <v>1476</v>
      </c>
      <c r="T209" s="541">
        <v>169273.75</v>
      </c>
      <c r="U209" s="541">
        <v>169273.75</v>
      </c>
      <c r="V209" s="541">
        <v>169035</v>
      </c>
      <c r="W209" s="541">
        <v>168557.5</v>
      </c>
      <c r="X209" s="543">
        <v>33198.61</v>
      </c>
      <c r="Y209" s="541">
        <v>0</v>
      </c>
      <c r="Z209" s="541">
        <v>0</v>
      </c>
      <c r="AA209" s="541">
        <v>0</v>
      </c>
      <c r="AB209" s="541">
        <v>0</v>
      </c>
      <c r="AC209" s="541">
        <v>0</v>
      </c>
      <c r="AD209" s="541">
        <v>0</v>
      </c>
      <c r="AE209" s="541">
        <v>0</v>
      </c>
      <c r="AF209" s="541">
        <v>0</v>
      </c>
      <c r="AG209" s="541">
        <v>0</v>
      </c>
      <c r="AH209" s="541">
        <v>0</v>
      </c>
      <c r="AI209" s="541">
        <v>34501</v>
      </c>
      <c r="AJ209" s="541">
        <v>12209</v>
      </c>
      <c r="AK209" s="541">
        <v>0</v>
      </c>
      <c r="AL209" s="541">
        <v>20536</v>
      </c>
      <c r="AM209" s="541">
        <v>0</v>
      </c>
      <c r="AN209" s="541">
        <v>0</v>
      </c>
      <c r="AO209" s="541">
        <v>0</v>
      </c>
      <c r="AP209" s="541">
        <v>0</v>
      </c>
      <c r="AQ209" s="541">
        <v>0</v>
      </c>
      <c r="AR209" s="541">
        <v>1200</v>
      </c>
      <c r="AS209" s="541">
        <v>0</v>
      </c>
      <c r="AT209" s="543">
        <v>34960</v>
      </c>
      <c r="AU209" s="541">
        <v>14800</v>
      </c>
      <c r="AV209" s="541">
        <v>34107.042499999996</v>
      </c>
      <c r="AW209" s="541">
        <v>0</v>
      </c>
      <c r="AX209" s="541">
        <v>51330</v>
      </c>
      <c r="AY209" s="541">
        <v>25101.5625</v>
      </c>
      <c r="AZ209" s="541">
        <v>7930</v>
      </c>
      <c r="BA209" s="541">
        <v>0</v>
      </c>
      <c r="BB209" s="541">
        <v>0</v>
      </c>
      <c r="BC209" s="544">
        <v>1051336.20475</v>
      </c>
      <c r="BD209" s="544">
        <v>1051336.20475</v>
      </c>
      <c r="BE209" s="511"/>
      <c r="BF209" s="565">
        <v>925477.21499999997</v>
      </c>
      <c r="BG209" s="565">
        <v>105322.98974999999</v>
      </c>
      <c r="BH209" s="565">
        <v>0</v>
      </c>
      <c r="BI209" s="565">
        <v>20536</v>
      </c>
      <c r="BJ209" s="565">
        <v>1051336.20475</v>
      </c>
      <c r="BK209" s="565">
        <v>0</v>
      </c>
      <c r="BL209" s="511"/>
      <c r="BM209" s="565">
        <v>676140</v>
      </c>
      <c r="BN209" s="565">
        <v>0</v>
      </c>
    </row>
    <row r="210" spans="1:66" ht="13.2" x14ac:dyDescent="0.25">
      <c r="A210" s="515" t="s">
        <v>618</v>
      </c>
      <c r="B210" s="517">
        <v>4063</v>
      </c>
      <c r="C210" s="517" t="s">
        <v>514</v>
      </c>
      <c r="D210" s="517" t="s">
        <v>36</v>
      </c>
      <c r="E210" s="518" t="s">
        <v>822</v>
      </c>
      <c r="F210" s="540"/>
      <c r="G210" s="540"/>
      <c r="H210" s="540"/>
      <c r="I210" s="540">
        <v>12760.170416666668</v>
      </c>
      <c r="J210" s="540">
        <v>7132.3333333333339</v>
      </c>
      <c r="K210" s="540">
        <v>6349.2474999999995</v>
      </c>
      <c r="L210" s="541">
        <v>0</v>
      </c>
      <c r="M210" s="541" t="s">
        <v>1476</v>
      </c>
      <c r="N210" s="541">
        <v>0</v>
      </c>
      <c r="O210" s="541">
        <v>0</v>
      </c>
      <c r="P210" s="541">
        <v>0</v>
      </c>
      <c r="Q210" s="541">
        <v>0</v>
      </c>
      <c r="R210" s="541">
        <v>0</v>
      </c>
      <c r="S210" s="542" t="s">
        <v>1476</v>
      </c>
      <c r="T210" s="541">
        <v>82846.25</v>
      </c>
      <c r="U210" s="541">
        <v>82846.25</v>
      </c>
      <c r="V210" s="541">
        <v>83085</v>
      </c>
      <c r="W210" s="541">
        <v>83562.5</v>
      </c>
      <c r="X210" s="543" t="s">
        <v>1476</v>
      </c>
      <c r="Y210" s="541">
        <v>0</v>
      </c>
      <c r="Z210" s="541">
        <v>0</v>
      </c>
      <c r="AA210" s="541">
        <v>0</v>
      </c>
      <c r="AB210" s="541">
        <v>0</v>
      </c>
      <c r="AC210" s="541">
        <v>0</v>
      </c>
      <c r="AD210" s="541">
        <v>123312</v>
      </c>
      <c r="AE210" s="541">
        <v>0</v>
      </c>
      <c r="AF210" s="541">
        <v>0</v>
      </c>
      <c r="AG210" s="541">
        <v>0</v>
      </c>
      <c r="AH210" s="541">
        <v>0</v>
      </c>
      <c r="AI210" s="541">
        <v>0</v>
      </c>
      <c r="AJ210" s="541">
        <v>0</v>
      </c>
      <c r="AK210" s="541">
        <v>0</v>
      </c>
      <c r="AL210" s="541">
        <v>0</v>
      </c>
      <c r="AM210" s="541">
        <v>0</v>
      </c>
      <c r="AN210" s="541">
        <v>0</v>
      </c>
      <c r="AO210" s="541">
        <v>0</v>
      </c>
      <c r="AP210" s="541">
        <v>2912</v>
      </c>
      <c r="AQ210" s="541">
        <v>0</v>
      </c>
      <c r="AR210" s="541">
        <v>1200</v>
      </c>
      <c r="AS210" s="541">
        <v>0</v>
      </c>
      <c r="AT210" s="543">
        <v>48237</v>
      </c>
      <c r="AU210" s="541">
        <v>13610</v>
      </c>
      <c r="AV210" s="541">
        <v>12285</v>
      </c>
      <c r="AW210" s="541">
        <v>0</v>
      </c>
      <c r="AX210" s="541">
        <v>25230</v>
      </c>
      <c r="AY210" s="541">
        <v>12403.125</v>
      </c>
      <c r="AZ210" s="541">
        <v>9060</v>
      </c>
      <c r="BA210" s="541">
        <v>0</v>
      </c>
      <c r="BB210" s="541">
        <v>0</v>
      </c>
      <c r="BC210" s="544">
        <v>606830.87624999997</v>
      </c>
      <c r="BD210" s="544">
        <v>606830.87624999997</v>
      </c>
      <c r="BE210" s="511"/>
      <c r="BF210" s="565">
        <v>457277.125</v>
      </c>
      <c r="BG210" s="565">
        <v>26241.751250000001</v>
      </c>
      <c r="BH210" s="565">
        <v>123312</v>
      </c>
      <c r="BI210" s="565">
        <v>0</v>
      </c>
      <c r="BJ210" s="565">
        <v>606830.87624999997</v>
      </c>
      <c r="BK210" s="565">
        <v>0</v>
      </c>
      <c r="BL210" s="511"/>
      <c r="BM210" s="565">
        <v>332340</v>
      </c>
      <c r="BN210" s="565">
        <v>0</v>
      </c>
    </row>
    <row r="211" spans="1:66" ht="13.2" x14ac:dyDescent="0.25">
      <c r="A211" s="515" t="s">
        <v>614</v>
      </c>
      <c r="B211" s="517">
        <v>5415</v>
      </c>
      <c r="C211" s="517" t="s">
        <v>516</v>
      </c>
      <c r="D211" s="517" t="s">
        <v>36</v>
      </c>
      <c r="E211" s="518" t="s">
        <v>823</v>
      </c>
      <c r="F211" s="540"/>
      <c r="G211" s="540"/>
      <c r="H211" s="540"/>
      <c r="I211" s="540">
        <v>5826.1219797971462</v>
      </c>
      <c r="J211" s="540">
        <v>8573.5227706509049</v>
      </c>
      <c r="K211" s="540">
        <v>13916.07825</v>
      </c>
      <c r="L211" s="541">
        <v>3571.6666666666665</v>
      </c>
      <c r="M211" s="541">
        <v>17855</v>
      </c>
      <c r="N211" s="541">
        <v>0</v>
      </c>
      <c r="O211" s="541">
        <v>0</v>
      </c>
      <c r="P211" s="541">
        <v>0</v>
      </c>
      <c r="Q211" s="541">
        <v>0</v>
      </c>
      <c r="R211" s="541">
        <v>0</v>
      </c>
      <c r="S211" s="542" t="s">
        <v>1476</v>
      </c>
      <c r="T211" s="541">
        <v>52841.25</v>
      </c>
      <c r="U211" s="541">
        <v>52841.25</v>
      </c>
      <c r="V211" s="541">
        <v>52602.5</v>
      </c>
      <c r="W211" s="541">
        <v>52125</v>
      </c>
      <c r="X211" s="543" t="s">
        <v>1476</v>
      </c>
      <c r="Y211" s="541">
        <v>0</v>
      </c>
      <c r="Z211" s="541">
        <v>0</v>
      </c>
      <c r="AA211" s="541">
        <v>0</v>
      </c>
      <c r="AB211" s="541">
        <v>0</v>
      </c>
      <c r="AC211" s="541">
        <v>0</v>
      </c>
      <c r="AD211" s="541">
        <v>137258</v>
      </c>
      <c r="AE211" s="541">
        <v>0</v>
      </c>
      <c r="AF211" s="541">
        <v>0</v>
      </c>
      <c r="AG211" s="541">
        <v>0</v>
      </c>
      <c r="AH211" s="541">
        <v>0</v>
      </c>
      <c r="AI211" s="541">
        <v>0</v>
      </c>
      <c r="AJ211" s="541">
        <v>0</v>
      </c>
      <c r="AK211" s="541">
        <v>0</v>
      </c>
      <c r="AL211" s="541">
        <v>0</v>
      </c>
      <c r="AM211" s="541">
        <v>0</v>
      </c>
      <c r="AN211" s="541">
        <v>0</v>
      </c>
      <c r="AO211" s="541">
        <v>0</v>
      </c>
      <c r="AP211" s="541">
        <v>1659</v>
      </c>
      <c r="AQ211" s="541">
        <v>0</v>
      </c>
      <c r="AR211" s="541">
        <v>1200</v>
      </c>
      <c r="AS211" s="541">
        <v>0</v>
      </c>
      <c r="AT211" s="543">
        <v>31823.14</v>
      </c>
      <c r="AU211" s="541">
        <v>13610</v>
      </c>
      <c r="AV211" s="541">
        <v>7855.3125000000009</v>
      </c>
      <c r="AW211" s="541">
        <v>0</v>
      </c>
      <c r="AX211" s="541">
        <v>15950</v>
      </c>
      <c r="AY211" s="541">
        <v>7737.1875000000009</v>
      </c>
      <c r="AZ211" s="541">
        <v>9060</v>
      </c>
      <c r="BA211" s="541">
        <v>0</v>
      </c>
      <c r="BB211" s="541">
        <v>0</v>
      </c>
      <c r="BC211" s="544">
        <v>486305.02966711472</v>
      </c>
      <c r="BD211" s="544">
        <v>486305.02966711472</v>
      </c>
      <c r="BE211" s="511"/>
      <c r="BF211" s="565">
        <v>299304.64</v>
      </c>
      <c r="BG211" s="565">
        <v>49742.389667114723</v>
      </c>
      <c r="BH211" s="565">
        <v>137258</v>
      </c>
      <c r="BI211" s="565">
        <v>0</v>
      </c>
      <c r="BJ211" s="565">
        <v>486305.02966711472</v>
      </c>
      <c r="BK211" s="565">
        <v>0</v>
      </c>
      <c r="BL211" s="511"/>
      <c r="BM211" s="565">
        <v>210410</v>
      </c>
      <c r="BN211" s="565">
        <v>0</v>
      </c>
    </row>
    <row r="212" spans="1:66" ht="13.2" x14ac:dyDescent="0.25">
      <c r="A212" s="515" t="s">
        <v>616</v>
      </c>
      <c r="B212" s="517">
        <v>4245</v>
      </c>
      <c r="C212" s="517" t="s">
        <v>518</v>
      </c>
      <c r="D212" s="517" t="s">
        <v>107</v>
      </c>
      <c r="E212" s="518" t="s">
        <v>824</v>
      </c>
      <c r="F212" s="540"/>
      <c r="G212" s="540"/>
      <c r="H212" s="540"/>
      <c r="I212" s="540">
        <v>4386.5108333333346</v>
      </c>
      <c r="J212" s="540">
        <v>3640.2700000000004</v>
      </c>
      <c r="K212" s="540">
        <v>6480.2012500000001</v>
      </c>
      <c r="L212" s="541">
        <v>0</v>
      </c>
      <c r="M212" s="541" t="s">
        <v>1476</v>
      </c>
      <c r="N212" s="541">
        <v>0</v>
      </c>
      <c r="O212" s="541">
        <v>0</v>
      </c>
      <c r="P212" s="541">
        <v>0</v>
      </c>
      <c r="Q212" s="541">
        <v>0</v>
      </c>
      <c r="R212" s="541">
        <v>0</v>
      </c>
      <c r="S212" s="542" t="s">
        <v>1476</v>
      </c>
      <c r="T212" s="541">
        <v>158768.75</v>
      </c>
      <c r="U212" s="541">
        <v>158768.75</v>
      </c>
      <c r="V212" s="541">
        <v>158768.75</v>
      </c>
      <c r="W212" s="541">
        <v>158768.75</v>
      </c>
      <c r="X212" s="543">
        <v>12247.77</v>
      </c>
      <c r="Y212" s="541">
        <v>0</v>
      </c>
      <c r="Z212" s="541">
        <v>0</v>
      </c>
      <c r="AA212" s="541">
        <v>0</v>
      </c>
      <c r="AB212" s="541">
        <v>0</v>
      </c>
      <c r="AC212" s="541">
        <v>0</v>
      </c>
      <c r="AD212" s="541">
        <v>0</v>
      </c>
      <c r="AE212" s="541">
        <v>0</v>
      </c>
      <c r="AF212" s="541">
        <v>0</v>
      </c>
      <c r="AG212" s="541">
        <v>0</v>
      </c>
      <c r="AH212" s="541">
        <v>0</v>
      </c>
      <c r="AI212" s="541">
        <v>37405</v>
      </c>
      <c r="AJ212" s="541">
        <v>13237</v>
      </c>
      <c r="AK212" s="541">
        <v>0</v>
      </c>
      <c r="AL212" s="541">
        <v>106830</v>
      </c>
      <c r="AM212" s="541">
        <v>0</v>
      </c>
      <c r="AN212" s="541">
        <v>0</v>
      </c>
      <c r="AO212" s="541">
        <v>0</v>
      </c>
      <c r="AP212" s="541">
        <v>0</v>
      </c>
      <c r="AQ212" s="541">
        <v>0</v>
      </c>
      <c r="AR212" s="541">
        <v>1200</v>
      </c>
      <c r="AS212" s="541">
        <v>0</v>
      </c>
      <c r="AT212" s="543">
        <v>41600</v>
      </c>
      <c r="AU212" s="541">
        <v>18230</v>
      </c>
      <c r="AV212" s="541">
        <v>23565.9375</v>
      </c>
      <c r="AW212" s="541">
        <v>0</v>
      </c>
      <c r="AX212" s="541">
        <v>48212.5</v>
      </c>
      <c r="AY212" s="541">
        <v>23565.9375</v>
      </c>
      <c r="AZ212" s="541">
        <v>11300</v>
      </c>
      <c r="BA212" s="541">
        <v>0</v>
      </c>
      <c r="BB212" s="541">
        <v>0</v>
      </c>
      <c r="BC212" s="544">
        <v>986976.12708333333</v>
      </c>
      <c r="BD212" s="544">
        <v>986976.12708333333</v>
      </c>
      <c r="BE212" s="511"/>
      <c r="BF212" s="565">
        <v>865639.14500000002</v>
      </c>
      <c r="BG212" s="565">
        <v>14506.982083333336</v>
      </c>
      <c r="BH212" s="565">
        <v>0</v>
      </c>
      <c r="BI212" s="565">
        <v>106830</v>
      </c>
      <c r="BJ212" s="565">
        <v>986976.12708333333</v>
      </c>
      <c r="BK212" s="565">
        <v>0</v>
      </c>
      <c r="BL212" s="511"/>
      <c r="BM212" s="565">
        <v>635075</v>
      </c>
      <c r="BN212" s="565">
        <v>0</v>
      </c>
    </row>
    <row r="213" spans="1:66" ht="13.2" x14ac:dyDescent="0.25">
      <c r="A213" s="515" t="s">
        <v>616</v>
      </c>
      <c r="B213" s="517">
        <v>4173</v>
      </c>
      <c r="C213" s="517" t="s">
        <v>520</v>
      </c>
      <c r="D213" s="517" t="s">
        <v>107</v>
      </c>
      <c r="E213" s="518" t="s">
        <v>825</v>
      </c>
      <c r="F213" s="540"/>
      <c r="G213" s="540"/>
      <c r="H213" s="540"/>
      <c r="I213" s="540">
        <v>42056.84375</v>
      </c>
      <c r="J213" s="540">
        <v>33799.957333333339</v>
      </c>
      <c r="K213" s="540">
        <v>21604.476750000002</v>
      </c>
      <c r="L213" s="541">
        <v>28051.666666666664</v>
      </c>
      <c r="M213" s="541" t="s">
        <v>1476</v>
      </c>
      <c r="N213" s="541">
        <v>0</v>
      </c>
      <c r="O213" s="541">
        <v>0</v>
      </c>
      <c r="P213" s="541">
        <v>0</v>
      </c>
      <c r="Q213" s="541">
        <v>0</v>
      </c>
      <c r="R213" s="541">
        <v>0</v>
      </c>
      <c r="S213" s="542" t="s">
        <v>1476</v>
      </c>
      <c r="T213" s="541">
        <v>74643.75</v>
      </c>
      <c r="U213" s="541">
        <v>74643.75</v>
      </c>
      <c r="V213" s="541">
        <v>74643.75</v>
      </c>
      <c r="W213" s="541">
        <v>74643.75</v>
      </c>
      <c r="X213" s="543">
        <v>16245</v>
      </c>
      <c r="Y213" s="541">
        <v>0</v>
      </c>
      <c r="Z213" s="541">
        <v>0</v>
      </c>
      <c r="AA213" s="541">
        <v>0</v>
      </c>
      <c r="AB213" s="541">
        <v>0</v>
      </c>
      <c r="AC213" s="541">
        <v>0</v>
      </c>
      <c r="AD213" s="541">
        <v>0</v>
      </c>
      <c r="AE213" s="541">
        <v>0</v>
      </c>
      <c r="AF213" s="541">
        <v>0</v>
      </c>
      <c r="AG213" s="541">
        <v>0</v>
      </c>
      <c r="AH213" s="541">
        <v>0</v>
      </c>
      <c r="AI213" s="541">
        <v>0</v>
      </c>
      <c r="AJ213" s="541">
        <v>0</v>
      </c>
      <c r="AK213" s="541">
        <v>0</v>
      </c>
      <c r="AL213" s="541">
        <v>0</v>
      </c>
      <c r="AM213" s="541">
        <v>0</v>
      </c>
      <c r="AN213" s="541">
        <v>0</v>
      </c>
      <c r="AO213" s="541">
        <v>0</v>
      </c>
      <c r="AP213" s="541">
        <v>6300</v>
      </c>
      <c r="AQ213" s="541">
        <v>0</v>
      </c>
      <c r="AR213" s="541">
        <v>1200</v>
      </c>
      <c r="AS213" s="541">
        <v>0</v>
      </c>
      <c r="AT213" s="543">
        <v>29460</v>
      </c>
      <c r="AU213" s="541">
        <v>16360</v>
      </c>
      <c r="AV213" s="541">
        <v>27980.3125</v>
      </c>
      <c r="AW213" s="541">
        <v>0</v>
      </c>
      <c r="AX213" s="541">
        <v>21822.5</v>
      </c>
      <c r="AY213" s="541">
        <v>10690.3125</v>
      </c>
      <c r="AZ213" s="541">
        <v>11300</v>
      </c>
      <c r="BA213" s="541">
        <v>0</v>
      </c>
      <c r="BB213" s="541">
        <v>0</v>
      </c>
      <c r="BC213" s="544">
        <v>565446.06949999998</v>
      </c>
      <c r="BD213" s="544">
        <v>565446.06949999998</v>
      </c>
      <c r="BE213" s="511"/>
      <c r="BF213" s="565">
        <v>439933.125</v>
      </c>
      <c r="BG213" s="565">
        <v>125512.94450000001</v>
      </c>
      <c r="BH213" s="565">
        <v>0</v>
      </c>
      <c r="BI213" s="565">
        <v>0</v>
      </c>
      <c r="BJ213" s="565">
        <v>565446.06949999998</v>
      </c>
      <c r="BK213" s="565">
        <v>0</v>
      </c>
      <c r="BL213" s="511"/>
      <c r="BM213" s="565">
        <v>298575</v>
      </c>
      <c r="BN213" s="565">
        <v>0</v>
      </c>
    </row>
    <row r="214" spans="1:66" ht="13.2" x14ac:dyDescent="0.25">
      <c r="A214" s="515" t="s">
        <v>616</v>
      </c>
      <c r="B214" s="517">
        <v>4177</v>
      </c>
      <c r="C214" s="517" t="s">
        <v>522</v>
      </c>
      <c r="D214" s="517" t="s">
        <v>107</v>
      </c>
      <c r="E214" s="518" t="s">
        <v>826</v>
      </c>
      <c r="F214" s="540"/>
      <c r="G214" s="540"/>
      <c r="H214" s="540"/>
      <c r="I214" s="540">
        <v>7571.0083333333341</v>
      </c>
      <c r="J214" s="540">
        <v>5903.4733333333334</v>
      </c>
      <c r="K214" s="540">
        <v>4469.2709166666664</v>
      </c>
      <c r="L214" s="541">
        <v>0</v>
      </c>
      <c r="M214" s="541" t="s">
        <v>1476</v>
      </c>
      <c r="N214" s="541">
        <v>0</v>
      </c>
      <c r="O214" s="541">
        <v>0</v>
      </c>
      <c r="P214" s="541">
        <v>0</v>
      </c>
      <c r="Q214" s="541">
        <v>0</v>
      </c>
      <c r="R214" s="541">
        <v>0</v>
      </c>
      <c r="S214" s="542" t="s">
        <v>1476</v>
      </c>
      <c r="T214" s="541">
        <v>97171.25</v>
      </c>
      <c r="U214" s="541">
        <v>97171.25</v>
      </c>
      <c r="V214" s="541">
        <v>97410</v>
      </c>
      <c r="W214" s="541">
        <v>97887.5</v>
      </c>
      <c r="X214" s="543">
        <v>22102</v>
      </c>
      <c r="Y214" s="541">
        <v>0</v>
      </c>
      <c r="Z214" s="541">
        <v>0</v>
      </c>
      <c r="AA214" s="541">
        <v>0</v>
      </c>
      <c r="AB214" s="541">
        <v>0</v>
      </c>
      <c r="AC214" s="541">
        <v>0</v>
      </c>
      <c r="AD214" s="541">
        <v>0</v>
      </c>
      <c r="AE214" s="541">
        <v>0</v>
      </c>
      <c r="AF214" s="541">
        <v>0</v>
      </c>
      <c r="AG214" s="541">
        <v>0</v>
      </c>
      <c r="AH214" s="541">
        <v>0</v>
      </c>
      <c r="AI214" s="541">
        <v>0</v>
      </c>
      <c r="AJ214" s="541">
        <v>0</v>
      </c>
      <c r="AK214" s="541">
        <v>0</v>
      </c>
      <c r="AL214" s="541">
        <v>0</v>
      </c>
      <c r="AM214" s="541">
        <v>0</v>
      </c>
      <c r="AN214" s="541">
        <v>0</v>
      </c>
      <c r="AO214" s="541">
        <v>0</v>
      </c>
      <c r="AP214" s="541">
        <v>0</v>
      </c>
      <c r="AQ214" s="541">
        <v>0</v>
      </c>
      <c r="AR214" s="541">
        <v>1200</v>
      </c>
      <c r="AS214" s="541">
        <v>0</v>
      </c>
      <c r="AT214" s="543">
        <v>24560</v>
      </c>
      <c r="AU214" s="541">
        <v>17750</v>
      </c>
      <c r="AV214" s="541">
        <v>22701.25</v>
      </c>
      <c r="AW214" s="541">
        <v>0</v>
      </c>
      <c r="AX214" s="541">
        <v>29580</v>
      </c>
      <c r="AY214" s="541">
        <v>14529.375000000002</v>
      </c>
      <c r="AZ214" s="541">
        <v>0</v>
      </c>
      <c r="BA214" s="541">
        <v>0</v>
      </c>
      <c r="BB214" s="541">
        <v>0</v>
      </c>
      <c r="BC214" s="544">
        <v>540006.37758333329</v>
      </c>
      <c r="BD214" s="544">
        <v>540006.37758333329</v>
      </c>
      <c r="BE214" s="511"/>
      <c r="BF214" s="565">
        <v>522062.625</v>
      </c>
      <c r="BG214" s="565">
        <v>17943.752583333335</v>
      </c>
      <c r="BH214" s="565">
        <v>0</v>
      </c>
      <c r="BI214" s="565">
        <v>0</v>
      </c>
      <c r="BJ214" s="565">
        <v>540006.37758333329</v>
      </c>
      <c r="BK214" s="565">
        <v>0</v>
      </c>
      <c r="BL214" s="511"/>
      <c r="BM214" s="565">
        <v>389640</v>
      </c>
      <c r="BN214" s="565">
        <v>0</v>
      </c>
    </row>
    <row r="215" spans="1:66" ht="13.2" x14ac:dyDescent="0.25">
      <c r="A215" s="515" t="s">
        <v>618</v>
      </c>
      <c r="B215" s="517">
        <v>4625</v>
      </c>
      <c r="C215" s="517" t="s">
        <v>524</v>
      </c>
      <c r="D215" s="517" t="s">
        <v>36</v>
      </c>
      <c r="E215" s="518" t="s">
        <v>827</v>
      </c>
      <c r="F215" s="540"/>
      <c r="G215" s="540"/>
      <c r="H215" s="540"/>
      <c r="I215" s="540">
        <v>1600</v>
      </c>
      <c r="J215" s="540">
        <v>1600</v>
      </c>
      <c r="K215" s="540">
        <v>1600</v>
      </c>
      <c r="L215" s="541">
        <v>0</v>
      </c>
      <c r="M215" s="541" t="s">
        <v>1476</v>
      </c>
      <c r="N215" s="541">
        <v>0</v>
      </c>
      <c r="O215" s="541">
        <v>0</v>
      </c>
      <c r="P215" s="541">
        <v>0</v>
      </c>
      <c r="Q215" s="541">
        <v>0</v>
      </c>
      <c r="R215" s="541">
        <v>0</v>
      </c>
      <c r="S215" s="542" t="s">
        <v>1476</v>
      </c>
      <c r="T215" s="541">
        <v>79503.75</v>
      </c>
      <c r="U215" s="541">
        <v>79503.75</v>
      </c>
      <c r="V215" s="541">
        <v>79503.75</v>
      </c>
      <c r="W215" s="541">
        <v>79503.75</v>
      </c>
      <c r="X215" s="543" t="s">
        <v>1476</v>
      </c>
      <c r="Y215" s="541">
        <v>0</v>
      </c>
      <c r="Z215" s="541">
        <v>0</v>
      </c>
      <c r="AA215" s="541">
        <v>0</v>
      </c>
      <c r="AB215" s="541">
        <v>0</v>
      </c>
      <c r="AC215" s="541">
        <v>0</v>
      </c>
      <c r="AD215" s="541">
        <v>0</v>
      </c>
      <c r="AE215" s="541">
        <v>0</v>
      </c>
      <c r="AF215" s="541">
        <v>0</v>
      </c>
      <c r="AG215" s="541">
        <v>0</v>
      </c>
      <c r="AH215" s="541">
        <v>0</v>
      </c>
      <c r="AI215" s="541">
        <v>0</v>
      </c>
      <c r="AJ215" s="541">
        <v>0</v>
      </c>
      <c r="AK215" s="541">
        <v>0</v>
      </c>
      <c r="AL215" s="541">
        <v>0</v>
      </c>
      <c r="AM215" s="541">
        <v>0</v>
      </c>
      <c r="AN215" s="541">
        <v>0</v>
      </c>
      <c r="AO215" s="541">
        <v>0</v>
      </c>
      <c r="AP215" s="541">
        <v>0</v>
      </c>
      <c r="AQ215" s="541">
        <v>0</v>
      </c>
      <c r="AR215" s="541">
        <v>1200</v>
      </c>
      <c r="AS215" s="541">
        <v>0</v>
      </c>
      <c r="AT215" s="543">
        <v>16246.19</v>
      </c>
      <c r="AU215" s="541">
        <v>11680</v>
      </c>
      <c r="AV215" s="541">
        <v>11812.5</v>
      </c>
      <c r="AW215" s="541">
        <v>0</v>
      </c>
      <c r="AX215" s="541">
        <v>24142.5</v>
      </c>
      <c r="AY215" s="541">
        <v>11812.5</v>
      </c>
      <c r="AZ215" s="541">
        <v>7930</v>
      </c>
      <c r="BA215" s="541">
        <v>0</v>
      </c>
      <c r="BB215" s="541">
        <v>0</v>
      </c>
      <c r="BC215" s="544">
        <v>407638.69</v>
      </c>
      <c r="BD215" s="544">
        <v>407638.69</v>
      </c>
      <c r="BE215" s="511"/>
      <c r="BF215" s="565">
        <v>402838.69</v>
      </c>
      <c r="BG215" s="565">
        <v>4800</v>
      </c>
      <c r="BH215" s="565">
        <v>0</v>
      </c>
      <c r="BI215" s="565">
        <v>0</v>
      </c>
      <c r="BJ215" s="565">
        <v>407638.69</v>
      </c>
      <c r="BK215" s="565">
        <v>0</v>
      </c>
      <c r="BL215" s="511"/>
      <c r="BM215" s="565">
        <v>318015</v>
      </c>
      <c r="BN215" s="565">
        <v>0</v>
      </c>
    </row>
    <row r="216" spans="1:66" ht="13.2" x14ac:dyDescent="0.25">
      <c r="A216" s="515" t="s">
        <v>616</v>
      </c>
      <c r="B216" s="517">
        <v>4606</v>
      </c>
      <c r="C216" s="517" t="s">
        <v>526</v>
      </c>
      <c r="D216" s="517" t="s">
        <v>107</v>
      </c>
      <c r="E216" s="518" t="s">
        <v>828</v>
      </c>
      <c r="F216" s="540"/>
      <c r="G216" s="540"/>
      <c r="H216" s="540"/>
      <c r="I216" s="540">
        <v>7783.8124404761911</v>
      </c>
      <c r="J216" s="540">
        <v>9897.7129999999997</v>
      </c>
      <c r="K216" s="540">
        <v>7023.2872500000003</v>
      </c>
      <c r="L216" s="541">
        <v>0</v>
      </c>
      <c r="M216" s="541" t="s">
        <v>1476</v>
      </c>
      <c r="N216" s="541">
        <v>0</v>
      </c>
      <c r="O216" s="541">
        <v>0</v>
      </c>
      <c r="P216" s="541">
        <v>0</v>
      </c>
      <c r="Q216" s="541">
        <v>0</v>
      </c>
      <c r="R216" s="541">
        <v>0</v>
      </c>
      <c r="S216" s="542" t="s">
        <v>1476</v>
      </c>
      <c r="T216" s="541">
        <v>56338.75</v>
      </c>
      <c r="U216" s="541">
        <v>56338.75</v>
      </c>
      <c r="V216" s="541">
        <v>57055</v>
      </c>
      <c r="W216" s="541">
        <v>58487.5</v>
      </c>
      <c r="X216" s="543" t="s">
        <v>1476</v>
      </c>
      <c r="Y216" s="541">
        <v>0</v>
      </c>
      <c r="Z216" s="541">
        <v>0</v>
      </c>
      <c r="AA216" s="541">
        <v>0</v>
      </c>
      <c r="AB216" s="541">
        <v>0</v>
      </c>
      <c r="AC216" s="541">
        <v>0</v>
      </c>
      <c r="AD216" s="541">
        <v>0</v>
      </c>
      <c r="AE216" s="541">
        <v>0</v>
      </c>
      <c r="AF216" s="541">
        <v>0</v>
      </c>
      <c r="AG216" s="541">
        <v>0</v>
      </c>
      <c r="AH216" s="541">
        <v>0</v>
      </c>
      <c r="AI216" s="541">
        <v>35949</v>
      </c>
      <c r="AJ216" s="541">
        <v>12722</v>
      </c>
      <c r="AK216" s="541">
        <v>0</v>
      </c>
      <c r="AL216" s="541">
        <v>9699</v>
      </c>
      <c r="AM216" s="541">
        <v>0</v>
      </c>
      <c r="AN216" s="541">
        <v>0</v>
      </c>
      <c r="AO216" s="541">
        <v>0</v>
      </c>
      <c r="AP216" s="541">
        <v>5640</v>
      </c>
      <c r="AQ216" s="541">
        <v>0</v>
      </c>
      <c r="AR216" s="541">
        <v>0</v>
      </c>
      <c r="AS216" s="541">
        <v>0</v>
      </c>
      <c r="AT216" s="543">
        <v>27730</v>
      </c>
      <c r="AU216" s="541">
        <v>12050</v>
      </c>
      <c r="AV216" s="541">
        <v>8327.8125</v>
      </c>
      <c r="AW216" s="541">
        <v>0</v>
      </c>
      <c r="AX216" s="541">
        <v>17255</v>
      </c>
      <c r="AY216" s="541">
        <v>8564.0625</v>
      </c>
      <c r="AZ216" s="541">
        <v>11300</v>
      </c>
      <c r="BA216" s="541">
        <v>2225</v>
      </c>
      <c r="BB216" s="541">
        <v>0</v>
      </c>
      <c r="BC216" s="544">
        <v>404386.68769047619</v>
      </c>
      <c r="BD216" s="544">
        <v>404386.68769047619</v>
      </c>
      <c r="BE216" s="511"/>
      <c r="BF216" s="565">
        <v>369982.875</v>
      </c>
      <c r="BG216" s="565">
        <v>24704.812690476192</v>
      </c>
      <c r="BH216" s="565">
        <v>0</v>
      </c>
      <c r="BI216" s="565">
        <v>9699</v>
      </c>
      <c r="BJ216" s="565">
        <v>404386.68769047619</v>
      </c>
      <c r="BK216" s="565">
        <v>0</v>
      </c>
      <c r="BL216" s="511"/>
      <c r="BM216" s="565">
        <v>228220</v>
      </c>
      <c r="BN216" s="565">
        <v>0</v>
      </c>
    </row>
    <row r="217" spans="1:66" ht="13.2" x14ac:dyDescent="0.25">
      <c r="A217" s="515" t="s">
        <v>616</v>
      </c>
      <c r="B217" s="517">
        <v>4237</v>
      </c>
      <c r="C217" s="517" t="s">
        <v>528</v>
      </c>
      <c r="D217" s="517" t="s">
        <v>107</v>
      </c>
      <c r="E217" s="518" t="s">
        <v>829</v>
      </c>
      <c r="F217" s="540"/>
      <c r="G217" s="540"/>
      <c r="H217" s="540"/>
      <c r="I217" s="540">
        <v>7336.0024999999987</v>
      </c>
      <c r="J217" s="540">
        <v>7939.4203333333335</v>
      </c>
      <c r="K217" s="540">
        <v>5769.1134999999995</v>
      </c>
      <c r="L217" s="541">
        <v>0</v>
      </c>
      <c r="M217" s="541" t="s">
        <v>1476</v>
      </c>
      <c r="N217" s="541">
        <v>0</v>
      </c>
      <c r="O217" s="541">
        <v>0</v>
      </c>
      <c r="P217" s="541">
        <v>0</v>
      </c>
      <c r="Q217" s="541">
        <v>0</v>
      </c>
      <c r="R217" s="541">
        <v>0</v>
      </c>
      <c r="S217" s="542" t="s">
        <v>1476</v>
      </c>
      <c r="T217" s="541">
        <v>172963.75</v>
      </c>
      <c r="U217" s="541">
        <v>172963.75</v>
      </c>
      <c r="V217" s="541">
        <v>172008.75</v>
      </c>
      <c r="W217" s="541">
        <v>170098.75</v>
      </c>
      <c r="X217" s="543">
        <v>7502</v>
      </c>
      <c r="Y217" s="541">
        <v>0</v>
      </c>
      <c r="Z217" s="541">
        <v>0</v>
      </c>
      <c r="AA217" s="541">
        <v>0</v>
      </c>
      <c r="AB217" s="541">
        <v>0</v>
      </c>
      <c r="AC217" s="541">
        <v>0</v>
      </c>
      <c r="AD217" s="541">
        <v>0</v>
      </c>
      <c r="AE217" s="541">
        <v>0</v>
      </c>
      <c r="AF217" s="541">
        <v>0</v>
      </c>
      <c r="AG217" s="541">
        <v>0</v>
      </c>
      <c r="AH217" s="541">
        <v>0</v>
      </c>
      <c r="AI217" s="541">
        <v>53796</v>
      </c>
      <c r="AJ217" s="541">
        <v>19038</v>
      </c>
      <c r="AK217" s="541">
        <v>0</v>
      </c>
      <c r="AL217" s="541">
        <v>20054</v>
      </c>
      <c r="AM217" s="541">
        <v>0</v>
      </c>
      <c r="AN217" s="541">
        <v>0</v>
      </c>
      <c r="AO217" s="541">
        <v>0</v>
      </c>
      <c r="AP217" s="541">
        <v>0</v>
      </c>
      <c r="AQ217" s="541">
        <v>0</v>
      </c>
      <c r="AR217" s="541">
        <v>1200</v>
      </c>
      <c r="AS217" s="541">
        <v>0</v>
      </c>
      <c r="AT217" s="543">
        <v>52160</v>
      </c>
      <c r="AU217" s="541">
        <v>23550</v>
      </c>
      <c r="AV217" s="541">
        <v>33923.125</v>
      </c>
      <c r="AW217" s="541">
        <v>0</v>
      </c>
      <c r="AX217" s="541">
        <v>52127.5</v>
      </c>
      <c r="AY217" s="541">
        <v>25278.75</v>
      </c>
      <c r="AZ217" s="541">
        <v>15690</v>
      </c>
      <c r="BA217" s="541">
        <v>0</v>
      </c>
      <c r="BB217" s="541">
        <v>0</v>
      </c>
      <c r="BC217" s="544">
        <v>1013398.9113333334</v>
      </c>
      <c r="BD217" s="544">
        <v>1013398.9113333334</v>
      </c>
      <c r="BE217" s="511"/>
      <c r="BF217" s="565">
        <v>972300.375</v>
      </c>
      <c r="BG217" s="565">
        <v>21044.53633333333</v>
      </c>
      <c r="BH217" s="565">
        <v>0</v>
      </c>
      <c r="BI217" s="565">
        <v>20054</v>
      </c>
      <c r="BJ217" s="565">
        <v>1013398.9113333334</v>
      </c>
      <c r="BK217" s="565">
        <v>0</v>
      </c>
      <c r="BL217" s="511"/>
      <c r="BM217" s="565">
        <v>688035</v>
      </c>
      <c r="BN217" s="565">
        <v>0</v>
      </c>
    </row>
    <row r="218" spans="1:66" s="403" customFormat="1" ht="13.2" x14ac:dyDescent="0.25">
      <c r="A218" s="547" t="s">
        <v>616</v>
      </c>
      <c r="B218" s="548">
        <v>4188</v>
      </c>
      <c r="C218" s="548" t="s">
        <v>530</v>
      </c>
      <c r="D218" s="548" t="s">
        <v>107</v>
      </c>
      <c r="E218" s="549" t="s">
        <v>830</v>
      </c>
      <c r="F218" s="550"/>
      <c r="G218" s="550"/>
      <c r="H218" s="550"/>
      <c r="I218" s="550">
        <v>0</v>
      </c>
      <c r="J218" s="550">
        <v>0</v>
      </c>
      <c r="K218" s="550">
        <v>0</v>
      </c>
      <c r="L218" s="541">
        <v>0</v>
      </c>
      <c r="M218" s="541" t="s">
        <v>1476</v>
      </c>
      <c r="N218" s="541">
        <v>0</v>
      </c>
      <c r="O218" s="541">
        <v>0</v>
      </c>
      <c r="P218" s="541">
        <v>0</v>
      </c>
      <c r="Q218" s="541">
        <v>0</v>
      </c>
      <c r="R218" s="541">
        <v>0</v>
      </c>
      <c r="S218" s="542" t="s">
        <v>1476</v>
      </c>
      <c r="T218" s="541">
        <v>0</v>
      </c>
      <c r="U218" s="541">
        <v>95500</v>
      </c>
      <c r="V218" s="541">
        <v>0</v>
      </c>
      <c r="W218" s="541" t="s">
        <v>1476</v>
      </c>
      <c r="X218" s="543" t="s">
        <v>1476</v>
      </c>
      <c r="Y218" s="541">
        <v>0</v>
      </c>
      <c r="Z218" s="541">
        <v>0</v>
      </c>
      <c r="AA218" s="541">
        <v>0</v>
      </c>
      <c r="AB218" s="541">
        <v>0</v>
      </c>
      <c r="AC218" s="541">
        <v>0</v>
      </c>
      <c r="AD218" s="541">
        <v>0</v>
      </c>
      <c r="AE218" s="541">
        <v>0</v>
      </c>
      <c r="AF218" s="541">
        <v>0</v>
      </c>
      <c r="AG218" s="541">
        <v>0</v>
      </c>
      <c r="AH218" s="541">
        <v>0</v>
      </c>
      <c r="AI218" s="541">
        <v>0</v>
      </c>
      <c r="AJ218" s="541">
        <v>0</v>
      </c>
      <c r="AK218" s="541">
        <v>0</v>
      </c>
      <c r="AL218" s="541">
        <v>0</v>
      </c>
      <c r="AM218" s="541">
        <v>0</v>
      </c>
      <c r="AN218" s="541">
        <v>0</v>
      </c>
      <c r="AO218" s="541">
        <v>0</v>
      </c>
      <c r="AP218" s="541">
        <v>0</v>
      </c>
      <c r="AQ218" s="541">
        <v>0</v>
      </c>
      <c r="AR218" s="541">
        <v>0</v>
      </c>
      <c r="AS218" s="541">
        <v>0</v>
      </c>
      <c r="AT218" s="543">
        <v>0</v>
      </c>
      <c r="AU218" s="541">
        <v>0</v>
      </c>
      <c r="AV218" s="541">
        <v>0</v>
      </c>
      <c r="AW218" s="541">
        <v>0</v>
      </c>
      <c r="AX218" s="541">
        <v>0</v>
      </c>
      <c r="AY218" s="541">
        <v>0</v>
      </c>
      <c r="AZ218" s="541">
        <v>0</v>
      </c>
      <c r="BA218" s="541">
        <v>0</v>
      </c>
      <c r="BB218" s="541">
        <v>0</v>
      </c>
      <c r="BC218" s="544">
        <v>95500</v>
      </c>
      <c r="BD218" s="544">
        <v>95500</v>
      </c>
      <c r="BE218" s="547"/>
      <c r="BF218" s="565">
        <v>95500</v>
      </c>
      <c r="BG218" s="565">
        <v>0</v>
      </c>
      <c r="BH218" s="565">
        <v>0</v>
      </c>
      <c r="BI218" s="565">
        <v>0</v>
      </c>
      <c r="BJ218" s="565">
        <v>95500</v>
      </c>
      <c r="BK218" s="512">
        <v>0</v>
      </c>
      <c r="BL218" s="514"/>
      <c r="BM218" s="512">
        <v>95500</v>
      </c>
      <c r="BN218" s="512">
        <v>0</v>
      </c>
    </row>
    <row r="219" spans="1:66" s="403" customFormat="1" ht="13.2" x14ac:dyDescent="0.25">
      <c r="A219" s="547" t="s">
        <v>618</v>
      </c>
      <c r="B219" s="548">
        <v>4187</v>
      </c>
      <c r="C219" s="548" t="s">
        <v>532</v>
      </c>
      <c r="D219" s="548" t="s">
        <v>36</v>
      </c>
      <c r="E219" s="549" t="s">
        <v>831</v>
      </c>
      <c r="F219" s="550"/>
      <c r="G219" s="550"/>
      <c r="H219" s="550"/>
      <c r="I219" s="550">
        <v>6180.8333333333339</v>
      </c>
      <c r="J219" s="550">
        <v>-9.3333333325062995E-3</v>
      </c>
      <c r="K219" s="550">
        <v>0</v>
      </c>
      <c r="L219" s="541">
        <v>0</v>
      </c>
      <c r="M219" s="541" t="s">
        <v>1476</v>
      </c>
      <c r="N219" s="541">
        <v>0</v>
      </c>
      <c r="O219" s="541">
        <v>0</v>
      </c>
      <c r="P219" s="541">
        <v>0</v>
      </c>
      <c r="Q219" s="541">
        <v>0</v>
      </c>
      <c r="R219" s="541">
        <v>0</v>
      </c>
      <c r="S219" s="542" t="s">
        <v>1476</v>
      </c>
      <c r="T219" s="541">
        <v>80567.5</v>
      </c>
      <c r="U219" s="541">
        <v>53711.666666666657</v>
      </c>
      <c r="V219" s="541">
        <v>0</v>
      </c>
      <c r="W219" s="541" t="s">
        <v>1476</v>
      </c>
      <c r="X219" s="543" t="s">
        <v>1476</v>
      </c>
      <c r="Y219" s="541">
        <v>0</v>
      </c>
      <c r="Z219" s="541">
        <v>0</v>
      </c>
      <c r="AA219" s="541">
        <v>0</v>
      </c>
      <c r="AB219" s="541">
        <v>0</v>
      </c>
      <c r="AC219" s="541">
        <v>0</v>
      </c>
      <c r="AD219" s="541">
        <v>0</v>
      </c>
      <c r="AE219" s="541">
        <v>0</v>
      </c>
      <c r="AF219" s="541">
        <v>0</v>
      </c>
      <c r="AG219" s="541">
        <v>0</v>
      </c>
      <c r="AH219" s="541">
        <v>0</v>
      </c>
      <c r="AI219" s="541">
        <v>0</v>
      </c>
      <c r="AJ219" s="541">
        <v>0</v>
      </c>
      <c r="AK219" s="541">
        <v>0</v>
      </c>
      <c r="AL219" s="541">
        <v>0</v>
      </c>
      <c r="AM219" s="541">
        <v>0</v>
      </c>
      <c r="AN219" s="541">
        <v>0</v>
      </c>
      <c r="AO219" s="541">
        <v>0</v>
      </c>
      <c r="AP219" s="541">
        <v>0</v>
      </c>
      <c r="AQ219" s="541">
        <v>0</v>
      </c>
      <c r="AR219" s="541">
        <v>0</v>
      </c>
      <c r="AS219" s="541">
        <v>0</v>
      </c>
      <c r="AT219" s="543">
        <v>22660</v>
      </c>
      <c r="AU219" s="541">
        <v>13240</v>
      </c>
      <c r="AV219" s="541">
        <v>0</v>
      </c>
      <c r="AW219" s="541">
        <v>0</v>
      </c>
      <c r="AX219" s="541">
        <v>0</v>
      </c>
      <c r="AY219" s="541">
        <v>0</v>
      </c>
      <c r="AZ219" s="541">
        <v>0</v>
      </c>
      <c r="BA219" s="541">
        <v>0</v>
      </c>
      <c r="BB219" s="541">
        <v>0</v>
      </c>
      <c r="BC219" s="544">
        <v>176359.99066666665</v>
      </c>
      <c r="BD219" s="544">
        <v>176359.99066666665</v>
      </c>
      <c r="BE219" s="547"/>
      <c r="BF219" s="565">
        <v>170179.16666666666</v>
      </c>
      <c r="BG219" s="565">
        <v>6180.8240000000014</v>
      </c>
      <c r="BH219" s="565">
        <v>0</v>
      </c>
      <c r="BI219" s="565">
        <v>0</v>
      </c>
      <c r="BJ219" s="565">
        <v>176359.99066666665</v>
      </c>
      <c r="BK219" s="512">
        <v>0</v>
      </c>
      <c r="BL219" s="514"/>
      <c r="BM219" s="512">
        <v>134279.16666666666</v>
      </c>
      <c r="BN219" s="512">
        <v>0</v>
      </c>
    </row>
    <row r="220" spans="1:66" ht="13.2" x14ac:dyDescent="0.25">
      <c r="A220" s="515" t="s">
        <v>616</v>
      </c>
      <c r="B220" s="517">
        <v>4193</v>
      </c>
      <c r="C220" s="517" t="s">
        <v>534</v>
      </c>
      <c r="D220" s="517" t="s">
        <v>36</v>
      </c>
      <c r="E220" s="518" t="s">
        <v>832</v>
      </c>
      <c r="F220" s="540"/>
      <c r="G220" s="540"/>
      <c r="H220" s="540"/>
      <c r="I220" s="540">
        <v>7353.7631935114532</v>
      </c>
      <c r="J220" s="540">
        <v>14835.844182881538</v>
      </c>
      <c r="K220" s="540">
        <v>25768.553416666666</v>
      </c>
      <c r="L220" s="541">
        <v>14466.333333333334</v>
      </c>
      <c r="M220" s="541" t="s">
        <v>1476</v>
      </c>
      <c r="N220" s="541">
        <v>0</v>
      </c>
      <c r="O220" s="541">
        <v>0</v>
      </c>
      <c r="P220" s="541">
        <v>0</v>
      </c>
      <c r="Q220" s="541">
        <v>0</v>
      </c>
      <c r="R220" s="541">
        <v>0</v>
      </c>
      <c r="S220" s="542" t="s">
        <v>1476</v>
      </c>
      <c r="T220" s="541">
        <v>56826.25</v>
      </c>
      <c r="U220" s="541">
        <v>56826.25</v>
      </c>
      <c r="V220" s="541">
        <v>56826.25</v>
      </c>
      <c r="W220" s="541">
        <v>56826.25</v>
      </c>
      <c r="X220" s="543" t="s">
        <v>1476</v>
      </c>
      <c r="Y220" s="541">
        <v>0</v>
      </c>
      <c r="Z220" s="541">
        <v>0</v>
      </c>
      <c r="AA220" s="541">
        <v>0</v>
      </c>
      <c r="AB220" s="541">
        <v>0</v>
      </c>
      <c r="AC220" s="541">
        <v>0</v>
      </c>
      <c r="AD220" s="541">
        <v>0</v>
      </c>
      <c r="AE220" s="541">
        <v>0</v>
      </c>
      <c r="AF220" s="541">
        <v>0</v>
      </c>
      <c r="AG220" s="541">
        <v>0</v>
      </c>
      <c r="AH220" s="541">
        <v>0</v>
      </c>
      <c r="AI220" s="541">
        <v>0</v>
      </c>
      <c r="AJ220" s="541">
        <v>0</v>
      </c>
      <c r="AK220" s="541">
        <v>0</v>
      </c>
      <c r="AL220" s="541">
        <v>0</v>
      </c>
      <c r="AM220" s="541">
        <v>0</v>
      </c>
      <c r="AN220" s="541">
        <v>0</v>
      </c>
      <c r="AO220" s="541">
        <v>0</v>
      </c>
      <c r="AP220" s="541">
        <v>2772</v>
      </c>
      <c r="AQ220" s="541">
        <v>0</v>
      </c>
      <c r="AR220" s="541">
        <v>1200</v>
      </c>
      <c r="AS220" s="541">
        <v>0</v>
      </c>
      <c r="AT220" s="543">
        <v>26865</v>
      </c>
      <c r="AU220" s="541">
        <v>14800</v>
      </c>
      <c r="AV220" s="541">
        <v>8268.75</v>
      </c>
      <c r="AW220" s="541">
        <v>0</v>
      </c>
      <c r="AX220" s="541">
        <v>16892.5</v>
      </c>
      <c r="AY220" s="541">
        <v>8268.75</v>
      </c>
      <c r="AZ220" s="541">
        <v>10180</v>
      </c>
      <c r="BA220" s="541">
        <v>0</v>
      </c>
      <c r="BB220" s="541">
        <v>0</v>
      </c>
      <c r="BC220" s="544">
        <v>378976.49412639299</v>
      </c>
      <c r="BD220" s="544">
        <v>378976.49412639299</v>
      </c>
      <c r="BE220" s="511"/>
      <c r="BF220" s="565">
        <v>316552</v>
      </c>
      <c r="BG220" s="565">
        <v>62424.494126392987</v>
      </c>
      <c r="BH220" s="565">
        <v>0</v>
      </c>
      <c r="BI220" s="565">
        <v>0</v>
      </c>
      <c r="BJ220" s="565">
        <v>378976.49412639299</v>
      </c>
      <c r="BK220" s="565">
        <v>0</v>
      </c>
      <c r="BL220" s="511"/>
      <c r="BM220" s="565">
        <v>227305</v>
      </c>
      <c r="BN220" s="565">
        <v>0</v>
      </c>
    </row>
    <row r="221" spans="1:66" ht="13.2" x14ac:dyDescent="0.25">
      <c r="A221" s="511"/>
      <c r="B221" s="511"/>
      <c r="C221" s="511"/>
      <c r="D221" s="517" t="s">
        <v>36</v>
      </c>
      <c r="E221" s="511"/>
      <c r="F221" s="551"/>
      <c r="G221" s="551"/>
      <c r="H221" s="551"/>
      <c r="I221" s="540"/>
      <c r="J221" s="540"/>
      <c r="K221" s="540"/>
      <c r="L221" s="541">
        <v>0</v>
      </c>
      <c r="M221" s="541" t="s">
        <v>1476</v>
      </c>
      <c r="N221" s="541"/>
      <c r="O221" s="541"/>
      <c r="P221" s="541"/>
      <c r="Q221" s="541"/>
      <c r="R221" s="541"/>
      <c r="S221" s="542"/>
      <c r="T221" s="541"/>
      <c r="U221" s="541"/>
      <c r="V221" s="541"/>
      <c r="W221" s="541" t="s">
        <v>1476</v>
      </c>
      <c r="X221" s="543" t="s">
        <v>1476</v>
      </c>
      <c r="Y221" s="541"/>
      <c r="Z221" s="541"/>
      <c r="AA221" s="541"/>
      <c r="AB221" s="541"/>
      <c r="AC221" s="541"/>
      <c r="AD221" s="541"/>
      <c r="AE221" s="541"/>
      <c r="AF221" s="541"/>
      <c r="AG221" s="541"/>
      <c r="AH221" s="541"/>
      <c r="AI221" s="541"/>
      <c r="AJ221" s="541">
        <v>0</v>
      </c>
      <c r="AK221" s="541"/>
      <c r="AL221" s="541"/>
      <c r="AM221" s="541"/>
      <c r="AN221" s="541"/>
      <c r="AO221" s="541"/>
      <c r="AP221" s="541" t="e">
        <v>#N/A</v>
      </c>
      <c r="AQ221" s="541"/>
      <c r="AR221" s="541">
        <v>0</v>
      </c>
      <c r="AS221" s="541"/>
      <c r="AT221" s="543"/>
      <c r="AU221" s="541" t="e">
        <v>#N/A</v>
      </c>
      <c r="AV221" s="541"/>
      <c r="AW221" s="541"/>
      <c r="AX221" s="541">
        <v>0</v>
      </c>
      <c r="AY221" s="541"/>
      <c r="AZ221" s="541"/>
      <c r="BA221" s="541"/>
      <c r="BB221" s="541"/>
      <c r="BC221" s="544"/>
      <c r="BD221" s="544"/>
      <c r="BE221" s="511"/>
      <c r="BF221" s="565" t="e">
        <v>#N/A</v>
      </c>
      <c r="BG221" s="565">
        <v>0</v>
      </c>
      <c r="BH221" s="565">
        <v>0</v>
      </c>
      <c r="BI221" s="565">
        <v>0</v>
      </c>
      <c r="BJ221" s="565" t="e">
        <v>#N/A</v>
      </c>
      <c r="BK221" s="565"/>
      <c r="BL221" s="511"/>
      <c r="BM221" s="565"/>
      <c r="BN221" s="565"/>
    </row>
    <row r="222" spans="1:66" ht="13.2" x14ac:dyDescent="0.25">
      <c r="A222" s="515" t="s">
        <v>618</v>
      </c>
      <c r="B222" s="517">
        <v>7016</v>
      </c>
      <c r="C222" s="517" t="s">
        <v>536</v>
      </c>
      <c r="D222" s="517" t="s">
        <v>36</v>
      </c>
      <c r="E222" s="518" t="s">
        <v>833</v>
      </c>
      <c r="F222" s="540"/>
      <c r="G222" s="540"/>
      <c r="H222" s="540"/>
      <c r="I222" s="540">
        <v>0</v>
      </c>
      <c r="J222" s="540">
        <v>0</v>
      </c>
      <c r="K222" s="540">
        <v>0</v>
      </c>
      <c r="L222" s="541">
        <v>0</v>
      </c>
      <c r="M222" s="541" t="s">
        <v>1476</v>
      </c>
      <c r="N222" s="541">
        <v>0</v>
      </c>
      <c r="O222" s="541">
        <v>0</v>
      </c>
      <c r="P222" s="541">
        <v>0</v>
      </c>
      <c r="Q222" s="541">
        <v>0</v>
      </c>
      <c r="R222" s="541">
        <v>0</v>
      </c>
      <c r="S222" s="542" t="s">
        <v>1476</v>
      </c>
      <c r="T222" s="541">
        <v>12015</v>
      </c>
      <c r="U222" s="541">
        <v>12015</v>
      </c>
      <c r="V222" s="541">
        <v>12015</v>
      </c>
      <c r="W222" s="541">
        <v>12015</v>
      </c>
      <c r="X222" s="543" t="s">
        <v>1476</v>
      </c>
      <c r="Y222" s="541">
        <v>0</v>
      </c>
      <c r="Z222" s="541">
        <v>0</v>
      </c>
      <c r="AA222" s="541">
        <v>0</v>
      </c>
      <c r="AB222" s="541">
        <v>3886.32</v>
      </c>
      <c r="AC222" s="541">
        <v>0</v>
      </c>
      <c r="AD222" s="541">
        <v>0</v>
      </c>
      <c r="AE222" s="541">
        <v>0</v>
      </c>
      <c r="AF222" s="541">
        <v>0</v>
      </c>
      <c r="AG222" s="541">
        <v>0</v>
      </c>
      <c r="AH222" s="541">
        <v>0</v>
      </c>
      <c r="AI222" s="541">
        <v>106920</v>
      </c>
      <c r="AJ222" s="541">
        <v>0</v>
      </c>
      <c r="AK222" s="541">
        <v>0</v>
      </c>
      <c r="AL222" s="541">
        <v>0</v>
      </c>
      <c r="AM222" s="541">
        <v>0</v>
      </c>
      <c r="AN222" s="541">
        <v>0</v>
      </c>
      <c r="AO222" s="541">
        <v>0</v>
      </c>
      <c r="AP222" s="541">
        <v>0</v>
      </c>
      <c r="AQ222" s="541">
        <v>0</v>
      </c>
      <c r="AR222" s="541">
        <v>0</v>
      </c>
      <c r="AS222" s="541">
        <v>0</v>
      </c>
      <c r="AT222" s="543">
        <v>16000</v>
      </c>
      <c r="AU222" s="541">
        <v>12600</v>
      </c>
      <c r="AV222" s="541">
        <v>13686.5625</v>
      </c>
      <c r="AW222" s="541">
        <v>0</v>
      </c>
      <c r="AX222" s="541">
        <v>7250</v>
      </c>
      <c r="AY222" s="541">
        <v>4626.5625</v>
      </c>
      <c r="AZ222" s="541">
        <v>0</v>
      </c>
      <c r="BA222" s="541">
        <v>0</v>
      </c>
      <c r="BB222" s="541">
        <v>0</v>
      </c>
      <c r="BC222" s="544">
        <v>213029.44500000001</v>
      </c>
      <c r="BD222" s="544">
        <v>213029.44500000001</v>
      </c>
      <c r="BE222" s="511"/>
      <c r="BF222" s="565">
        <v>209143.125</v>
      </c>
      <c r="BG222" s="565">
        <v>0</v>
      </c>
      <c r="BH222" s="565">
        <v>0</v>
      </c>
      <c r="BI222" s="565">
        <v>3886.32</v>
      </c>
      <c r="BJ222" s="565">
        <v>213029.44500000001</v>
      </c>
      <c r="BK222" s="565">
        <v>0</v>
      </c>
      <c r="BL222" s="511"/>
      <c r="BM222" s="565">
        <v>48060</v>
      </c>
      <c r="BN222" s="565">
        <v>0</v>
      </c>
    </row>
    <row r="223" spans="1:66" ht="13.2" x14ac:dyDescent="0.25">
      <c r="A223" s="515" t="s">
        <v>618</v>
      </c>
      <c r="B223" s="517">
        <v>7052</v>
      </c>
      <c r="C223" s="517" t="s">
        <v>539</v>
      </c>
      <c r="D223" s="517" t="s">
        <v>36</v>
      </c>
      <c r="E223" s="518" t="s">
        <v>834</v>
      </c>
      <c r="F223" s="540"/>
      <c r="G223" s="540"/>
      <c r="H223" s="540"/>
      <c r="I223" s="540">
        <v>0</v>
      </c>
      <c r="J223" s="540">
        <v>0</v>
      </c>
      <c r="K223" s="540">
        <v>0</v>
      </c>
      <c r="L223" s="541">
        <v>0</v>
      </c>
      <c r="M223" s="541" t="s">
        <v>1476</v>
      </c>
      <c r="N223" s="541">
        <v>0</v>
      </c>
      <c r="O223" s="541">
        <v>0</v>
      </c>
      <c r="P223" s="541">
        <v>0</v>
      </c>
      <c r="Q223" s="541">
        <v>0</v>
      </c>
      <c r="R223" s="541">
        <v>0</v>
      </c>
      <c r="S223" s="542" t="s">
        <v>1476</v>
      </c>
      <c r="T223" s="541">
        <v>14622.5</v>
      </c>
      <c r="U223" s="541">
        <v>14622.5</v>
      </c>
      <c r="V223" s="541">
        <v>14622.5</v>
      </c>
      <c r="W223" s="541">
        <v>14622.5</v>
      </c>
      <c r="X223" s="543" t="s">
        <v>1476</v>
      </c>
      <c r="Y223" s="541">
        <v>0</v>
      </c>
      <c r="Z223" s="541">
        <v>16764</v>
      </c>
      <c r="AA223" s="541">
        <v>0</v>
      </c>
      <c r="AB223" s="541">
        <v>0</v>
      </c>
      <c r="AC223" s="541">
        <v>0</v>
      </c>
      <c r="AD223" s="541">
        <v>0</v>
      </c>
      <c r="AE223" s="541">
        <v>0</v>
      </c>
      <c r="AF223" s="541">
        <v>0</v>
      </c>
      <c r="AG223" s="541">
        <v>0</v>
      </c>
      <c r="AH223" s="541">
        <v>2724</v>
      </c>
      <c r="AI223" s="541">
        <v>54120</v>
      </c>
      <c r="AJ223" s="541">
        <v>0</v>
      </c>
      <c r="AK223" s="541">
        <v>0</v>
      </c>
      <c r="AL223" s="541">
        <v>0</v>
      </c>
      <c r="AM223" s="541">
        <v>0</v>
      </c>
      <c r="AN223" s="541">
        <v>0</v>
      </c>
      <c r="AO223" s="541">
        <v>0</v>
      </c>
      <c r="AP223" s="541">
        <v>0</v>
      </c>
      <c r="AQ223" s="541">
        <v>0</v>
      </c>
      <c r="AR223" s="541">
        <v>0</v>
      </c>
      <c r="AS223" s="541">
        <v>0</v>
      </c>
      <c r="AT223" s="543">
        <v>7700</v>
      </c>
      <c r="AU223" s="541">
        <v>0</v>
      </c>
      <c r="AV223" s="541">
        <v>3855.4687500000005</v>
      </c>
      <c r="AW223" s="541">
        <v>0</v>
      </c>
      <c r="AX223" s="541">
        <v>6090</v>
      </c>
      <c r="AY223" s="541">
        <v>3855.4687500000005</v>
      </c>
      <c r="AZ223" s="541">
        <v>0</v>
      </c>
      <c r="BA223" s="541">
        <v>0</v>
      </c>
      <c r="BB223" s="541">
        <v>0</v>
      </c>
      <c r="BC223" s="544">
        <v>153598.9375</v>
      </c>
      <c r="BD223" s="544">
        <v>153598.9375</v>
      </c>
      <c r="BE223" s="511"/>
      <c r="BF223" s="565">
        <v>153598.9375</v>
      </c>
      <c r="BG223" s="565">
        <v>0</v>
      </c>
      <c r="BH223" s="565">
        <v>0</v>
      </c>
      <c r="BI223" s="565">
        <v>0</v>
      </c>
      <c r="BJ223" s="565">
        <v>153598.9375</v>
      </c>
      <c r="BK223" s="565">
        <v>0</v>
      </c>
      <c r="BL223" s="511"/>
      <c r="BM223" s="565">
        <v>58490</v>
      </c>
      <c r="BN223" s="565">
        <v>0</v>
      </c>
    </row>
    <row r="224" spans="1:66" ht="13.2" x14ac:dyDescent="0.25">
      <c r="A224" s="515" t="s">
        <v>614</v>
      </c>
      <c r="B224" s="517">
        <v>7030</v>
      </c>
      <c r="C224" s="517" t="s">
        <v>541</v>
      </c>
      <c r="D224" s="517" t="s">
        <v>36</v>
      </c>
      <c r="E224" s="518" t="s">
        <v>835</v>
      </c>
      <c r="F224" s="540"/>
      <c r="G224" s="540"/>
      <c r="H224" s="540"/>
      <c r="I224" s="540">
        <v>0</v>
      </c>
      <c r="J224" s="540">
        <v>0</v>
      </c>
      <c r="K224" s="540">
        <v>0</v>
      </c>
      <c r="L224" s="541">
        <v>0</v>
      </c>
      <c r="M224" s="541" t="s">
        <v>1476</v>
      </c>
      <c r="N224" s="541">
        <v>0</v>
      </c>
      <c r="O224" s="541">
        <v>0</v>
      </c>
      <c r="P224" s="541">
        <v>0</v>
      </c>
      <c r="Q224" s="541">
        <v>0</v>
      </c>
      <c r="R224" s="541">
        <v>0</v>
      </c>
      <c r="S224" s="542" t="s">
        <v>1476</v>
      </c>
      <c r="T224" s="541">
        <v>6685</v>
      </c>
      <c r="U224" s="541">
        <v>6685</v>
      </c>
      <c r="V224" s="541">
        <v>6685</v>
      </c>
      <c r="W224" s="541">
        <v>6685</v>
      </c>
      <c r="X224" s="543" t="s">
        <v>1476</v>
      </c>
      <c r="Y224" s="541">
        <v>0</v>
      </c>
      <c r="Z224" s="541">
        <v>0</v>
      </c>
      <c r="AA224" s="541">
        <v>0</v>
      </c>
      <c r="AB224" s="541">
        <v>1605.22</v>
      </c>
      <c r="AC224" s="541">
        <v>0</v>
      </c>
      <c r="AD224" s="541">
        <v>0</v>
      </c>
      <c r="AE224" s="541">
        <v>0</v>
      </c>
      <c r="AF224" s="541">
        <v>0</v>
      </c>
      <c r="AG224" s="541">
        <v>0</v>
      </c>
      <c r="AH224" s="541">
        <v>0</v>
      </c>
      <c r="AI224" s="541">
        <v>47520</v>
      </c>
      <c r="AJ224" s="541">
        <v>0</v>
      </c>
      <c r="AK224" s="541">
        <v>0</v>
      </c>
      <c r="AL224" s="541">
        <v>0</v>
      </c>
      <c r="AM224" s="541">
        <v>0</v>
      </c>
      <c r="AN224" s="541">
        <v>0</v>
      </c>
      <c r="AO224" s="541">
        <v>0</v>
      </c>
      <c r="AP224" s="541">
        <v>1140</v>
      </c>
      <c r="AQ224" s="541">
        <v>0</v>
      </c>
      <c r="AR224" s="541">
        <v>1200</v>
      </c>
      <c r="AS224" s="541">
        <v>0</v>
      </c>
      <c r="AT224" s="543">
        <v>7200</v>
      </c>
      <c r="AU224" s="541">
        <v>13620</v>
      </c>
      <c r="AV224" s="541">
        <v>18971.71875</v>
      </c>
      <c r="AW224" s="541">
        <v>0</v>
      </c>
      <c r="AX224" s="541">
        <v>4060</v>
      </c>
      <c r="AY224" s="541">
        <v>2621.71875</v>
      </c>
      <c r="AZ224" s="541">
        <v>8540</v>
      </c>
      <c r="BA224" s="541">
        <v>0</v>
      </c>
      <c r="BB224" s="541">
        <v>0</v>
      </c>
      <c r="BC224" s="544">
        <v>133218.6575</v>
      </c>
      <c r="BD224" s="544">
        <v>133218.6575</v>
      </c>
      <c r="BE224" s="511"/>
      <c r="BF224" s="565">
        <v>131613.4375</v>
      </c>
      <c r="BG224" s="565">
        <v>0</v>
      </c>
      <c r="BH224" s="565">
        <v>0</v>
      </c>
      <c r="BI224" s="565">
        <v>1605.22</v>
      </c>
      <c r="BJ224" s="565">
        <v>133218.6575</v>
      </c>
      <c r="BK224" s="565">
        <v>0</v>
      </c>
      <c r="BL224" s="511"/>
      <c r="BM224" s="565">
        <v>26740</v>
      </c>
      <c r="BN224" s="565">
        <v>0</v>
      </c>
    </row>
    <row r="225" spans="1:66" ht="13.2" x14ac:dyDescent="0.25">
      <c r="A225" s="515" t="s">
        <v>616</v>
      </c>
      <c r="B225" s="517">
        <v>7051</v>
      </c>
      <c r="C225" s="517" t="s">
        <v>543</v>
      </c>
      <c r="D225" s="517" t="s">
        <v>107</v>
      </c>
      <c r="E225" s="518" t="s">
        <v>836</v>
      </c>
      <c r="F225" s="540"/>
      <c r="G225" s="540"/>
      <c r="H225" s="540"/>
      <c r="I225" s="540">
        <v>0</v>
      </c>
      <c r="J225" s="540">
        <v>0</v>
      </c>
      <c r="K225" s="540">
        <v>0</v>
      </c>
      <c r="L225" s="541">
        <v>0</v>
      </c>
      <c r="M225" s="541" t="s">
        <v>1476</v>
      </c>
      <c r="N225" s="541">
        <v>285232</v>
      </c>
      <c r="O225" s="541">
        <v>0</v>
      </c>
      <c r="P225" s="541">
        <v>0</v>
      </c>
      <c r="Q225" s="541">
        <v>0</v>
      </c>
      <c r="R225" s="541">
        <v>0</v>
      </c>
      <c r="S225" s="542" t="s">
        <v>1476</v>
      </c>
      <c r="T225" s="541">
        <v>23201.25</v>
      </c>
      <c r="U225" s="541">
        <v>23201.25</v>
      </c>
      <c r="V225" s="541">
        <v>22865</v>
      </c>
      <c r="W225" s="541">
        <v>22192.5</v>
      </c>
      <c r="X225" s="543" t="s">
        <v>1476</v>
      </c>
      <c r="Y225" s="541">
        <v>0</v>
      </c>
      <c r="Z225" s="541">
        <v>17031</v>
      </c>
      <c r="AA225" s="541">
        <v>0</v>
      </c>
      <c r="AB225" s="541">
        <v>0</v>
      </c>
      <c r="AC225" s="541">
        <v>0</v>
      </c>
      <c r="AD225" s="541">
        <v>0</v>
      </c>
      <c r="AE225" s="541">
        <v>0</v>
      </c>
      <c r="AF225" s="541">
        <v>0</v>
      </c>
      <c r="AG225" s="541">
        <v>0</v>
      </c>
      <c r="AH225" s="541">
        <v>8781</v>
      </c>
      <c r="AI225" s="541">
        <v>73260</v>
      </c>
      <c r="AJ225" s="541">
        <v>0</v>
      </c>
      <c r="AK225" s="541">
        <v>0</v>
      </c>
      <c r="AL225" s="541">
        <v>0</v>
      </c>
      <c r="AM225" s="541">
        <v>0</v>
      </c>
      <c r="AN225" s="541">
        <v>0</v>
      </c>
      <c r="AO225" s="541">
        <v>0</v>
      </c>
      <c r="AP225" s="541">
        <v>0</v>
      </c>
      <c r="AQ225" s="541">
        <v>0</v>
      </c>
      <c r="AR225" s="541">
        <v>0</v>
      </c>
      <c r="AS225" s="541">
        <v>0</v>
      </c>
      <c r="AT225" s="543">
        <v>11200</v>
      </c>
      <c r="AU225" s="541">
        <v>0</v>
      </c>
      <c r="AV225" s="541">
        <v>5706.09375</v>
      </c>
      <c r="AW225" s="541">
        <v>0</v>
      </c>
      <c r="AX225" s="541">
        <v>9860</v>
      </c>
      <c r="AY225" s="541">
        <v>5397.65625</v>
      </c>
      <c r="AZ225" s="541">
        <v>0</v>
      </c>
      <c r="BA225" s="541">
        <v>0</v>
      </c>
      <c r="BB225" s="541">
        <v>0</v>
      </c>
      <c r="BC225" s="544">
        <v>507927.75</v>
      </c>
      <c r="BD225" s="544">
        <v>507927.75</v>
      </c>
      <c r="BE225" s="511"/>
      <c r="BF225" s="565">
        <v>222695.75</v>
      </c>
      <c r="BG225" s="565">
        <v>285232</v>
      </c>
      <c r="BH225" s="565">
        <v>0</v>
      </c>
      <c r="BI225" s="565">
        <v>0</v>
      </c>
      <c r="BJ225" s="565">
        <v>507927.75</v>
      </c>
      <c r="BK225" s="565">
        <v>0</v>
      </c>
      <c r="BL225" s="511"/>
      <c r="BM225" s="565">
        <v>91460</v>
      </c>
      <c r="BN225" s="565">
        <v>0</v>
      </c>
    </row>
    <row r="226" spans="1:66" ht="13.2" x14ac:dyDescent="0.25">
      <c r="A226" s="515" t="s">
        <v>614</v>
      </c>
      <c r="B226" s="552">
        <v>1100</v>
      </c>
      <c r="C226" s="552" t="s">
        <v>578</v>
      </c>
      <c r="D226" s="517" t="s">
        <v>36</v>
      </c>
      <c r="E226" s="553" t="s">
        <v>837</v>
      </c>
      <c r="F226" s="540"/>
      <c r="G226" s="540"/>
      <c r="H226" s="540"/>
      <c r="I226" s="540">
        <v>0</v>
      </c>
      <c r="J226" s="540">
        <v>0</v>
      </c>
      <c r="K226" s="540">
        <v>0</v>
      </c>
      <c r="L226" s="541">
        <v>12000</v>
      </c>
      <c r="M226" s="541" t="s">
        <v>1476</v>
      </c>
      <c r="N226" s="541">
        <v>0</v>
      </c>
      <c r="O226" s="541">
        <v>0</v>
      </c>
      <c r="P226" s="541">
        <v>0</v>
      </c>
      <c r="Q226" s="541">
        <v>0</v>
      </c>
      <c r="R226" s="541">
        <v>0</v>
      </c>
      <c r="S226" s="542" t="s">
        <v>1476</v>
      </c>
      <c r="T226" s="541">
        <v>84353.125</v>
      </c>
      <c r="U226" s="541">
        <v>84353.125</v>
      </c>
      <c r="V226" s="541">
        <v>83636.875</v>
      </c>
      <c r="W226" s="541">
        <v>82204.375</v>
      </c>
      <c r="X226" s="543" t="s">
        <v>1476</v>
      </c>
      <c r="Y226" s="541">
        <v>0</v>
      </c>
      <c r="Z226" s="541">
        <v>16993</v>
      </c>
      <c r="AA226" s="541">
        <v>0</v>
      </c>
      <c r="AB226" s="541">
        <v>0</v>
      </c>
      <c r="AC226" s="541">
        <v>0</v>
      </c>
      <c r="AD226" s="541">
        <v>0</v>
      </c>
      <c r="AE226" s="541">
        <v>0</v>
      </c>
      <c r="AF226" s="541">
        <v>0</v>
      </c>
      <c r="AG226" s="541">
        <v>0</v>
      </c>
      <c r="AH226" s="541">
        <v>1909</v>
      </c>
      <c r="AI226" s="541">
        <v>306240</v>
      </c>
      <c r="AJ226" s="541">
        <v>0</v>
      </c>
      <c r="AK226" s="541">
        <v>0</v>
      </c>
      <c r="AL226" s="541">
        <v>0</v>
      </c>
      <c r="AM226" s="541">
        <v>0</v>
      </c>
      <c r="AN226" s="541">
        <v>0</v>
      </c>
      <c r="AO226" s="541">
        <v>0</v>
      </c>
      <c r="AP226" s="541">
        <v>0</v>
      </c>
      <c r="AQ226" s="541">
        <v>0</v>
      </c>
      <c r="AR226" s="541">
        <v>0</v>
      </c>
      <c r="AS226" s="541">
        <v>0</v>
      </c>
      <c r="AT226" s="543">
        <v>44000</v>
      </c>
      <c r="AU226" s="541">
        <v>11300</v>
      </c>
      <c r="AV226" s="541">
        <v>29610.000000000004</v>
      </c>
      <c r="AW226" s="541">
        <v>0</v>
      </c>
      <c r="AX226" s="541">
        <v>45892.5</v>
      </c>
      <c r="AY226" s="541">
        <v>28993.125000000004</v>
      </c>
      <c r="AZ226" s="541">
        <v>0</v>
      </c>
      <c r="BA226" s="541">
        <v>0</v>
      </c>
      <c r="BB226" s="541">
        <v>0</v>
      </c>
      <c r="BC226" s="544">
        <v>831485.125</v>
      </c>
      <c r="BD226" s="544">
        <v>831485.125</v>
      </c>
      <c r="BE226" s="511"/>
      <c r="BF226" s="565">
        <v>819485.125</v>
      </c>
      <c r="BG226" s="565">
        <v>12000</v>
      </c>
      <c r="BH226" s="565">
        <v>0</v>
      </c>
      <c r="BI226" s="565">
        <v>0</v>
      </c>
      <c r="BJ226" s="565">
        <v>831485.125</v>
      </c>
      <c r="BK226" s="565">
        <v>0</v>
      </c>
      <c r="BL226" s="511"/>
      <c r="BM226" s="565">
        <v>334547.5</v>
      </c>
      <c r="BN226" s="565">
        <v>0</v>
      </c>
    </row>
    <row r="227" spans="1:66" ht="13.2" x14ac:dyDescent="0.25">
      <c r="A227" s="515" t="s">
        <v>618</v>
      </c>
      <c r="B227" s="517">
        <v>7035</v>
      </c>
      <c r="C227" s="517" t="s">
        <v>545</v>
      </c>
      <c r="D227" s="517" t="s">
        <v>36</v>
      </c>
      <c r="E227" s="518" t="s">
        <v>838</v>
      </c>
      <c r="F227" s="540"/>
      <c r="G227" s="540"/>
      <c r="H227" s="540"/>
      <c r="I227" s="540">
        <v>0</v>
      </c>
      <c r="J227" s="540">
        <v>0</v>
      </c>
      <c r="K227" s="540">
        <v>0</v>
      </c>
      <c r="L227" s="541">
        <v>0</v>
      </c>
      <c r="M227" s="541" t="s">
        <v>1476</v>
      </c>
      <c r="N227" s="541">
        <v>0</v>
      </c>
      <c r="O227" s="541">
        <v>0</v>
      </c>
      <c r="P227" s="541">
        <v>0</v>
      </c>
      <c r="Q227" s="541">
        <v>0</v>
      </c>
      <c r="R227" s="541">
        <v>0</v>
      </c>
      <c r="S227" s="542" t="s">
        <v>1476</v>
      </c>
      <c r="T227" s="541">
        <v>30331.25</v>
      </c>
      <c r="U227" s="541">
        <v>30331.25</v>
      </c>
      <c r="V227" s="541">
        <v>29658.75</v>
      </c>
      <c r="W227" s="541">
        <v>28313.75</v>
      </c>
      <c r="X227" s="543" t="s">
        <v>1476</v>
      </c>
      <c r="Y227" s="541">
        <v>0</v>
      </c>
      <c r="Z227" s="541">
        <v>17383</v>
      </c>
      <c r="AA227" s="541">
        <v>0</v>
      </c>
      <c r="AB227" s="541">
        <v>0</v>
      </c>
      <c r="AC227" s="541">
        <v>0</v>
      </c>
      <c r="AD227" s="541">
        <v>0</v>
      </c>
      <c r="AE227" s="541">
        <v>0</v>
      </c>
      <c r="AF227" s="541">
        <v>0</v>
      </c>
      <c r="AG227" s="541">
        <v>0</v>
      </c>
      <c r="AH227" s="541">
        <v>11208</v>
      </c>
      <c r="AI227" s="541">
        <v>99000</v>
      </c>
      <c r="AJ227" s="541">
        <v>0</v>
      </c>
      <c r="AK227" s="541">
        <v>0</v>
      </c>
      <c r="AL227" s="541">
        <v>0</v>
      </c>
      <c r="AM227" s="541">
        <v>0</v>
      </c>
      <c r="AN227" s="541">
        <v>0</v>
      </c>
      <c r="AO227" s="541">
        <v>0</v>
      </c>
      <c r="AP227" s="541">
        <v>0</v>
      </c>
      <c r="AQ227" s="541">
        <v>0</v>
      </c>
      <c r="AR227" s="541">
        <v>0</v>
      </c>
      <c r="AS227" s="541">
        <v>0</v>
      </c>
      <c r="AT227" s="543">
        <v>15100</v>
      </c>
      <c r="AU227" s="541">
        <v>0</v>
      </c>
      <c r="AV227" s="541">
        <v>7556.7187500000009</v>
      </c>
      <c r="AW227" s="541">
        <v>0</v>
      </c>
      <c r="AX227" s="541">
        <v>12035</v>
      </c>
      <c r="AY227" s="541">
        <v>7248.2812500000009</v>
      </c>
      <c r="AZ227" s="541">
        <v>0</v>
      </c>
      <c r="BA227" s="541">
        <v>0</v>
      </c>
      <c r="BB227" s="541">
        <v>0</v>
      </c>
      <c r="BC227" s="544">
        <v>288166</v>
      </c>
      <c r="BD227" s="544">
        <v>288166</v>
      </c>
      <c r="BE227" s="511"/>
      <c r="BF227" s="565">
        <v>288166</v>
      </c>
      <c r="BG227" s="565">
        <v>0</v>
      </c>
      <c r="BH227" s="565">
        <v>0</v>
      </c>
      <c r="BI227" s="565">
        <v>0</v>
      </c>
      <c r="BJ227" s="565">
        <v>288166</v>
      </c>
      <c r="BK227" s="565">
        <v>0</v>
      </c>
      <c r="BL227" s="511"/>
      <c r="BM227" s="565">
        <v>118635</v>
      </c>
      <c r="BN227" s="565">
        <v>0</v>
      </c>
    </row>
    <row r="228" spans="1:66" ht="13.2" x14ac:dyDescent="0.25">
      <c r="A228" s="515" t="s">
        <v>618</v>
      </c>
      <c r="B228" s="517">
        <v>7050</v>
      </c>
      <c r="C228" s="517" t="s">
        <v>547</v>
      </c>
      <c r="D228" s="517" t="s">
        <v>36</v>
      </c>
      <c r="E228" s="518" t="s">
        <v>839</v>
      </c>
      <c r="F228" s="540"/>
      <c r="G228" s="540"/>
      <c r="H228" s="540"/>
      <c r="I228" s="540">
        <v>0</v>
      </c>
      <c r="J228" s="540">
        <v>0</v>
      </c>
      <c r="K228" s="540">
        <v>0</v>
      </c>
      <c r="L228" s="541">
        <v>0</v>
      </c>
      <c r="M228" s="541" t="s">
        <v>1476</v>
      </c>
      <c r="N228" s="541">
        <v>0</v>
      </c>
      <c r="O228" s="541">
        <v>0</v>
      </c>
      <c r="P228" s="541">
        <v>0</v>
      </c>
      <c r="Q228" s="541">
        <v>0</v>
      </c>
      <c r="R228" s="541">
        <v>0</v>
      </c>
      <c r="S228" s="542" t="s">
        <v>1476</v>
      </c>
      <c r="T228" s="541">
        <v>10375</v>
      </c>
      <c r="U228" s="541">
        <v>10375</v>
      </c>
      <c r="V228" s="541">
        <v>10375</v>
      </c>
      <c r="W228" s="541">
        <v>10375</v>
      </c>
      <c r="X228" s="543" t="s">
        <v>1476</v>
      </c>
      <c r="Y228" s="541">
        <v>0</v>
      </c>
      <c r="Z228" s="541">
        <v>0</v>
      </c>
      <c r="AA228" s="541">
        <v>0</v>
      </c>
      <c r="AB228" s="541">
        <v>1858.67</v>
      </c>
      <c r="AC228" s="541">
        <v>0</v>
      </c>
      <c r="AD228" s="541">
        <v>0</v>
      </c>
      <c r="AE228" s="541">
        <v>0</v>
      </c>
      <c r="AF228" s="541">
        <v>0</v>
      </c>
      <c r="AG228" s="541">
        <v>0</v>
      </c>
      <c r="AH228" s="541">
        <v>0</v>
      </c>
      <c r="AI228" s="541">
        <v>70620</v>
      </c>
      <c r="AJ228" s="541">
        <v>0</v>
      </c>
      <c r="AK228" s="541">
        <v>0</v>
      </c>
      <c r="AL228" s="541">
        <v>0</v>
      </c>
      <c r="AM228" s="541">
        <v>0</v>
      </c>
      <c r="AN228" s="541">
        <v>0</v>
      </c>
      <c r="AO228" s="541">
        <v>0</v>
      </c>
      <c r="AP228" s="541">
        <v>0</v>
      </c>
      <c r="AQ228" s="541">
        <v>0</v>
      </c>
      <c r="AR228" s="541">
        <v>0</v>
      </c>
      <c r="AS228" s="541">
        <v>0</v>
      </c>
      <c r="AT228" s="543">
        <v>10800</v>
      </c>
      <c r="AU228" s="541">
        <v>850</v>
      </c>
      <c r="AV228" s="541">
        <v>3855.4687500000005</v>
      </c>
      <c r="AW228" s="541">
        <v>0</v>
      </c>
      <c r="AX228" s="541">
        <v>6090</v>
      </c>
      <c r="AY228" s="541">
        <v>3855.4687500000005</v>
      </c>
      <c r="AZ228" s="541">
        <v>0</v>
      </c>
      <c r="BA228" s="541">
        <v>0</v>
      </c>
      <c r="BB228" s="541">
        <v>0</v>
      </c>
      <c r="BC228" s="544">
        <v>139429.60749999998</v>
      </c>
      <c r="BD228" s="544">
        <v>139429.60749999998</v>
      </c>
      <c r="BE228" s="511"/>
      <c r="BF228" s="565">
        <v>137570.9375</v>
      </c>
      <c r="BG228" s="565">
        <v>0</v>
      </c>
      <c r="BH228" s="565">
        <v>0</v>
      </c>
      <c r="BI228" s="565">
        <v>1858.67</v>
      </c>
      <c r="BJ228" s="565">
        <v>139429.60750000001</v>
      </c>
      <c r="BK228" s="565">
        <v>0</v>
      </c>
      <c r="BL228" s="511"/>
      <c r="BM228" s="565">
        <v>41500</v>
      </c>
      <c r="BN228" s="565">
        <v>0</v>
      </c>
    </row>
    <row r="229" spans="1:66" ht="13.2" x14ac:dyDescent="0.25">
      <c r="A229" s="515" t="s">
        <v>618</v>
      </c>
      <c r="B229" s="517">
        <v>7006</v>
      </c>
      <c r="C229" s="517" t="s">
        <v>549</v>
      </c>
      <c r="D229" s="517" t="s">
        <v>36</v>
      </c>
      <c r="E229" s="518" t="s">
        <v>840</v>
      </c>
      <c r="F229" s="540"/>
      <c r="G229" s="540"/>
      <c r="H229" s="540"/>
      <c r="I229" s="540">
        <v>0</v>
      </c>
      <c r="J229" s="540">
        <v>0</v>
      </c>
      <c r="K229" s="540">
        <v>0</v>
      </c>
      <c r="L229" s="541">
        <v>0</v>
      </c>
      <c r="M229" s="541" t="s">
        <v>1476</v>
      </c>
      <c r="N229" s="541">
        <v>0</v>
      </c>
      <c r="O229" s="541">
        <v>0</v>
      </c>
      <c r="P229" s="541">
        <v>0</v>
      </c>
      <c r="Q229" s="541">
        <v>0</v>
      </c>
      <c r="R229" s="541">
        <v>0</v>
      </c>
      <c r="S229" s="542" t="s">
        <v>1476</v>
      </c>
      <c r="T229" s="541">
        <v>24882.5</v>
      </c>
      <c r="U229" s="541">
        <v>24882.5</v>
      </c>
      <c r="V229" s="541">
        <v>24882.5</v>
      </c>
      <c r="W229" s="541">
        <v>24882.5</v>
      </c>
      <c r="X229" s="543" t="s">
        <v>1476</v>
      </c>
      <c r="Y229" s="541">
        <v>0</v>
      </c>
      <c r="Z229" s="541">
        <v>17139</v>
      </c>
      <c r="AA229" s="541">
        <v>0</v>
      </c>
      <c r="AB229" s="541">
        <v>0</v>
      </c>
      <c r="AC229" s="541">
        <v>0</v>
      </c>
      <c r="AD229" s="541">
        <v>0</v>
      </c>
      <c r="AE229" s="541">
        <v>0</v>
      </c>
      <c r="AF229" s="541">
        <v>0</v>
      </c>
      <c r="AG229" s="541">
        <v>0</v>
      </c>
      <c r="AH229" s="541">
        <v>4335</v>
      </c>
      <c r="AI229" s="541">
        <v>79860</v>
      </c>
      <c r="AJ229" s="541">
        <v>0</v>
      </c>
      <c r="AK229" s="541">
        <v>0</v>
      </c>
      <c r="AL229" s="541">
        <v>0</v>
      </c>
      <c r="AM229" s="541">
        <v>0</v>
      </c>
      <c r="AN229" s="541">
        <v>0</v>
      </c>
      <c r="AO229" s="541">
        <v>0</v>
      </c>
      <c r="AP229" s="541">
        <v>2280</v>
      </c>
      <c r="AQ229" s="541">
        <v>0</v>
      </c>
      <c r="AR229" s="541">
        <v>0</v>
      </c>
      <c r="AS229" s="541">
        <v>0</v>
      </c>
      <c r="AT229" s="543">
        <v>12200</v>
      </c>
      <c r="AU229" s="541">
        <v>0</v>
      </c>
      <c r="AV229" s="541">
        <v>6322.96875</v>
      </c>
      <c r="AW229" s="541">
        <v>0</v>
      </c>
      <c r="AX229" s="541">
        <v>10730</v>
      </c>
      <c r="AY229" s="541">
        <v>6322.96875</v>
      </c>
      <c r="AZ229" s="541">
        <v>0</v>
      </c>
      <c r="BA229" s="541">
        <v>0</v>
      </c>
      <c r="BB229" s="541">
        <v>0</v>
      </c>
      <c r="BC229" s="544">
        <v>238719.9375</v>
      </c>
      <c r="BD229" s="544">
        <v>238719.9375</v>
      </c>
      <c r="BE229" s="511"/>
      <c r="BF229" s="565">
        <v>238719.9375</v>
      </c>
      <c r="BG229" s="565">
        <v>0</v>
      </c>
      <c r="BH229" s="565">
        <v>0</v>
      </c>
      <c r="BI229" s="565">
        <v>0</v>
      </c>
      <c r="BJ229" s="565">
        <v>238719.9375</v>
      </c>
      <c r="BK229" s="565">
        <v>0</v>
      </c>
      <c r="BL229" s="511"/>
      <c r="BM229" s="565">
        <v>99530</v>
      </c>
      <c r="BN229" s="565">
        <v>0</v>
      </c>
    </row>
    <row r="230" spans="1:66" ht="13.2" x14ac:dyDescent="0.25">
      <c r="A230" s="515" t="s">
        <v>614</v>
      </c>
      <c r="B230" s="517">
        <v>7026</v>
      </c>
      <c r="C230" s="517" t="s">
        <v>551</v>
      </c>
      <c r="D230" s="517" t="s">
        <v>36</v>
      </c>
      <c r="E230" s="518" t="s">
        <v>841</v>
      </c>
      <c r="F230" s="540"/>
      <c r="G230" s="540"/>
      <c r="H230" s="540"/>
      <c r="I230" s="540">
        <v>0</v>
      </c>
      <c r="J230" s="540">
        <v>0</v>
      </c>
      <c r="K230" s="540">
        <v>0</v>
      </c>
      <c r="L230" s="541">
        <v>0</v>
      </c>
      <c r="M230" s="541" t="s">
        <v>1476</v>
      </c>
      <c r="N230" s="541">
        <v>0</v>
      </c>
      <c r="O230" s="541">
        <v>0</v>
      </c>
      <c r="P230" s="541">
        <v>0</v>
      </c>
      <c r="Q230" s="541">
        <v>0</v>
      </c>
      <c r="R230" s="541">
        <v>0</v>
      </c>
      <c r="S230" s="542" t="s">
        <v>1476</v>
      </c>
      <c r="T230" s="541">
        <v>16213.75</v>
      </c>
      <c r="U230" s="541">
        <v>16213.75</v>
      </c>
      <c r="V230" s="541">
        <v>15497.5</v>
      </c>
      <c r="W230" s="541">
        <v>14065</v>
      </c>
      <c r="X230" s="543" t="s">
        <v>1476</v>
      </c>
      <c r="Y230" s="541">
        <v>0</v>
      </c>
      <c r="Z230" s="541">
        <v>0</v>
      </c>
      <c r="AA230" s="541">
        <v>0</v>
      </c>
      <c r="AB230" s="541">
        <v>0</v>
      </c>
      <c r="AC230" s="541">
        <v>0</v>
      </c>
      <c r="AD230" s="541">
        <v>0</v>
      </c>
      <c r="AE230" s="541">
        <v>0</v>
      </c>
      <c r="AF230" s="541">
        <v>0</v>
      </c>
      <c r="AG230" s="541">
        <v>0</v>
      </c>
      <c r="AH230" s="541">
        <v>0</v>
      </c>
      <c r="AI230" s="541">
        <v>23100</v>
      </c>
      <c r="AJ230" s="541">
        <v>0</v>
      </c>
      <c r="AK230" s="541">
        <v>0</v>
      </c>
      <c r="AL230" s="541">
        <v>0</v>
      </c>
      <c r="AM230" s="541">
        <v>0</v>
      </c>
      <c r="AN230" s="541">
        <v>0</v>
      </c>
      <c r="AO230" s="541">
        <v>0</v>
      </c>
      <c r="AP230" s="541">
        <v>0</v>
      </c>
      <c r="AQ230" s="541">
        <v>0</v>
      </c>
      <c r="AR230" s="541">
        <v>0</v>
      </c>
      <c r="AS230" s="541">
        <v>0</v>
      </c>
      <c r="AT230" s="543">
        <v>13200</v>
      </c>
      <c r="AU230" s="541">
        <v>2150</v>
      </c>
      <c r="AV230" s="541">
        <v>0</v>
      </c>
      <c r="AW230" s="541">
        <v>0</v>
      </c>
      <c r="AX230" s="541">
        <v>0</v>
      </c>
      <c r="AY230" s="541">
        <v>0</v>
      </c>
      <c r="AZ230" s="541">
        <v>0</v>
      </c>
      <c r="BA230" s="541">
        <v>0</v>
      </c>
      <c r="BB230" s="541">
        <v>0</v>
      </c>
      <c r="BC230" s="544">
        <v>100440</v>
      </c>
      <c r="BD230" s="544">
        <v>100440</v>
      </c>
      <c r="BE230" s="511"/>
      <c r="BF230" s="565">
        <v>100440</v>
      </c>
      <c r="BG230" s="565">
        <v>0</v>
      </c>
      <c r="BH230" s="565">
        <v>0</v>
      </c>
      <c r="BI230" s="565">
        <v>0</v>
      </c>
      <c r="BJ230" s="565">
        <v>100440</v>
      </c>
      <c r="BK230" s="565">
        <v>0</v>
      </c>
      <c r="BL230" s="511"/>
      <c r="BM230" s="565">
        <v>61990</v>
      </c>
      <c r="BN230" s="565">
        <v>0</v>
      </c>
    </row>
    <row r="231" spans="1:66" ht="13.2" x14ac:dyDescent="0.25">
      <c r="A231" s="515" t="s">
        <v>614</v>
      </c>
      <c r="B231" s="517">
        <v>7060</v>
      </c>
      <c r="C231" s="517" t="s">
        <v>555</v>
      </c>
      <c r="D231" s="517" t="s">
        <v>36</v>
      </c>
      <c r="E231" s="518" t="s">
        <v>842</v>
      </c>
      <c r="F231" s="540"/>
      <c r="G231" s="540"/>
      <c r="H231" s="540"/>
      <c r="I231" s="540">
        <v>0</v>
      </c>
      <c r="J231" s="540">
        <v>0</v>
      </c>
      <c r="K231" s="540">
        <v>0</v>
      </c>
      <c r="L231" s="541">
        <v>0</v>
      </c>
      <c r="M231" s="541" t="s">
        <v>1476</v>
      </c>
      <c r="N231" s="541">
        <v>0</v>
      </c>
      <c r="O231" s="541">
        <v>0</v>
      </c>
      <c r="P231" s="541">
        <v>0</v>
      </c>
      <c r="Q231" s="541">
        <v>0</v>
      </c>
      <c r="R231" s="541">
        <v>0</v>
      </c>
      <c r="S231" s="542" t="s">
        <v>1476</v>
      </c>
      <c r="T231" s="541">
        <v>15795</v>
      </c>
      <c r="U231" s="541">
        <v>15795</v>
      </c>
      <c r="V231" s="541">
        <v>15795</v>
      </c>
      <c r="W231" s="541">
        <v>15795</v>
      </c>
      <c r="X231" s="543" t="s">
        <v>1476</v>
      </c>
      <c r="Y231" s="541">
        <v>0</v>
      </c>
      <c r="Z231" s="541">
        <v>17034</v>
      </c>
      <c r="AA231" s="541">
        <v>0</v>
      </c>
      <c r="AB231" s="541">
        <v>0</v>
      </c>
      <c r="AC231" s="541">
        <v>0</v>
      </c>
      <c r="AD231" s="541">
        <v>0</v>
      </c>
      <c r="AE231" s="541">
        <v>0</v>
      </c>
      <c r="AF231" s="541">
        <v>0</v>
      </c>
      <c r="AG231" s="541">
        <v>0</v>
      </c>
      <c r="AH231" s="541">
        <v>3224</v>
      </c>
      <c r="AI231" s="541">
        <v>69960</v>
      </c>
      <c r="AJ231" s="541">
        <v>0</v>
      </c>
      <c r="AK231" s="541">
        <v>0</v>
      </c>
      <c r="AL231" s="541">
        <v>0</v>
      </c>
      <c r="AM231" s="541">
        <v>0</v>
      </c>
      <c r="AN231" s="541">
        <v>0</v>
      </c>
      <c r="AO231" s="541">
        <v>0</v>
      </c>
      <c r="AP231" s="541">
        <v>870</v>
      </c>
      <c r="AQ231" s="541">
        <v>0</v>
      </c>
      <c r="AR231" s="541">
        <v>0</v>
      </c>
      <c r="AS231" s="541">
        <v>0</v>
      </c>
      <c r="AT231" s="543">
        <v>11300</v>
      </c>
      <c r="AU231" s="541">
        <v>0</v>
      </c>
      <c r="AV231" s="541">
        <v>4009.6875000000005</v>
      </c>
      <c r="AW231" s="541">
        <v>0</v>
      </c>
      <c r="AX231" s="541">
        <v>6670</v>
      </c>
      <c r="AY231" s="541">
        <v>4009.6875000000005</v>
      </c>
      <c r="AZ231" s="541">
        <v>0</v>
      </c>
      <c r="BA231" s="541">
        <v>0</v>
      </c>
      <c r="BB231" s="541">
        <v>0</v>
      </c>
      <c r="BC231" s="544">
        <v>180257.375</v>
      </c>
      <c r="BD231" s="544">
        <v>180257.375</v>
      </c>
      <c r="BE231" s="511"/>
      <c r="BF231" s="565">
        <v>180257.375</v>
      </c>
      <c r="BG231" s="565">
        <v>0</v>
      </c>
      <c r="BH231" s="565">
        <v>0</v>
      </c>
      <c r="BI231" s="565">
        <v>0</v>
      </c>
      <c r="BJ231" s="565">
        <v>180257.375</v>
      </c>
      <c r="BK231" s="565">
        <v>0</v>
      </c>
      <c r="BL231" s="511"/>
      <c r="BM231" s="565">
        <v>63180</v>
      </c>
      <c r="BN231" s="565">
        <v>0</v>
      </c>
    </row>
    <row r="232" spans="1:66" ht="13.2" x14ac:dyDescent="0.25">
      <c r="A232" s="515" t="s">
        <v>618</v>
      </c>
      <c r="B232" s="517">
        <v>7062</v>
      </c>
      <c r="C232" s="517" t="s">
        <v>557</v>
      </c>
      <c r="D232" s="517" t="s">
        <v>36</v>
      </c>
      <c r="E232" s="518" t="s">
        <v>843</v>
      </c>
      <c r="F232" s="540"/>
      <c r="G232" s="540"/>
      <c r="H232" s="540"/>
      <c r="I232" s="540">
        <v>0</v>
      </c>
      <c r="J232" s="540">
        <v>0</v>
      </c>
      <c r="K232" s="540">
        <v>0</v>
      </c>
      <c r="L232" s="541">
        <v>0</v>
      </c>
      <c r="M232" s="541" t="s">
        <v>1476</v>
      </c>
      <c r="N232" s="541">
        <v>0</v>
      </c>
      <c r="O232" s="541">
        <v>0</v>
      </c>
      <c r="P232" s="541">
        <v>0</v>
      </c>
      <c r="Q232" s="541">
        <v>0</v>
      </c>
      <c r="R232" s="541">
        <v>0</v>
      </c>
      <c r="S232" s="542" t="s">
        <v>1476</v>
      </c>
      <c r="T232" s="541">
        <v>24363.75</v>
      </c>
      <c r="U232" s="541">
        <v>24363.75</v>
      </c>
      <c r="V232" s="541">
        <v>23886.25</v>
      </c>
      <c r="W232" s="541">
        <v>22931.25</v>
      </c>
      <c r="X232" s="543" t="s">
        <v>1476</v>
      </c>
      <c r="Y232" s="541">
        <v>0</v>
      </c>
      <c r="Z232" s="541">
        <v>8417</v>
      </c>
      <c r="AA232" s="541">
        <v>0</v>
      </c>
      <c r="AB232" s="541">
        <v>0</v>
      </c>
      <c r="AC232" s="541">
        <v>0</v>
      </c>
      <c r="AD232" s="541">
        <v>0</v>
      </c>
      <c r="AE232" s="541">
        <v>0</v>
      </c>
      <c r="AF232" s="541">
        <v>0</v>
      </c>
      <c r="AG232" s="541">
        <v>0</v>
      </c>
      <c r="AH232" s="541">
        <v>0</v>
      </c>
      <c r="AI232" s="541">
        <v>79860</v>
      </c>
      <c r="AJ232" s="541">
        <v>0</v>
      </c>
      <c r="AK232" s="541">
        <v>0</v>
      </c>
      <c r="AL232" s="541">
        <v>0</v>
      </c>
      <c r="AM232" s="541">
        <v>0</v>
      </c>
      <c r="AN232" s="541">
        <v>0</v>
      </c>
      <c r="AO232" s="541">
        <v>0</v>
      </c>
      <c r="AP232" s="541">
        <v>0</v>
      </c>
      <c r="AQ232" s="541">
        <v>0</v>
      </c>
      <c r="AR232" s="541">
        <v>0</v>
      </c>
      <c r="AS232" s="541">
        <v>0</v>
      </c>
      <c r="AT232" s="543">
        <v>11900</v>
      </c>
      <c r="AU232" s="541">
        <v>12600</v>
      </c>
      <c r="AV232" s="541">
        <v>17233.59375</v>
      </c>
      <c r="AW232" s="541">
        <v>0</v>
      </c>
      <c r="AX232" s="541">
        <v>12615</v>
      </c>
      <c r="AY232" s="541">
        <v>7865.1562500000009</v>
      </c>
      <c r="AZ232" s="541">
        <v>0</v>
      </c>
      <c r="BA232" s="541">
        <v>0</v>
      </c>
      <c r="BB232" s="541">
        <v>0</v>
      </c>
      <c r="BC232" s="544">
        <v>246035.75</v>
      </c>
      <c r="BD232" s="544">
        <v>246035.75</v>
      </c>
      <c r="BE232" s="511"/>
      <c r="BF232" s="565">
        <v>246035.75</v>
      </c>
      <c r="BG232" s="565">
        <v>0</v>
      </c>
      <c r="BH232" s="565">
        <v>0</v>
      </c>
      <c r="BI232" s="565">
        <v>0</v>
      </c>
      <c r="BJ232" s="565">
        <v>246035.75</v>
      </c>
      <c r="BK232" s="565">
        <v>0</v>
      </c>
      <c r="BL232" s="511"/>
      <c r="BM232" s="565">
        <v>95545</v>
      </c>
      <c r="BN232" s="565">
        <v>0</v>
      </c>
    </row>
    <row r="233" spans="1:66" ht="13.2" x14ac:dyDescent="0.25">
      <c r="A233" s="515" t="s">
        <v>614</v>
      </c>
      <c r="B233" s="517">
        <v>7012</v>
      </c>
      <c r="C233" s="517" t="s">
        <v>559</v>
      </c>
      <c r="D233" s="517" t="s">
        <v>36</v>
      </c>
      <c r="E233" s="518" t="s">
        <v>844</v>
      </c>
      <c r="F233" s="540"/>
      <c r="G233" s="540"/>
      <c r="H233" s="540"/>
      <c r="I233" s="540">
        <v>0</v>
      </c>
      <c r="J233" s="540">
        <v>0</v>
      </c>
      <c r="K233" s="540">
        <v>0</v>
      </c>
      <c r="L233" s="541">
        <v>0</v>
      </c>
      <c r="M233" s="541" t="s">
        <v>1476</v>
      </c>
      <c r="N233" s="541">
        <v>0</v>
      </c>
      <c r="O233" s="541">
        <v>0</v>
      </c>
      <c r="P233" s="541">
        <v>0</v>
      </c>
      <c r="Q233" s="541">
        <v>0</v>
      </c>
      <c r="R233" s="541">
        <v>0</v>
      </c>
      <c r="S233" s="542" t="s">
        <v>1476</v>
      </c>
      <c r="T233" s="541">
        <v>11346.25</v>
      </c>
      <c r="U233" s="541">
        <v>11346.25</v>
      </c>
      <c r="V233" s="541">
        <v>11346.25</v>
      </c>
      <c r="W233" s="541">
        <v>11346.25</v>
      </c>
      <c r="X233" s="543" t="s">
        <v>1476</v>
      </c>
      <c r="Y233" s="541">
        <v>0</v>
      </c>
      <c r="Z233" s="541">
        <v>16511</v>
      </c>
      <c r="AA233" s="541">
        <v>0</v>
      </c>
      <c r="AB233" s="541">
        <v>0</v>
      </c>
      <c r="AC233" s="541">
        <v>0</v>
      </c>
      <c r="AD233" s="541">
        <v>0</v>
      </c>
      <c r="AE233" s="541">
        <v>0</v>
      </c>
      <c r="AF233" s="541">
        <v>0</v>
      </c>
      <c r="AG233" s="541">
        <v>0</v>
      </c>
      <c r="AH233" s="541">
        <v>1723</v>
      </c>
      <c r="AI233" s="541">
        <v>34980</v>
      </c>
      <c r="AJ233" s="541">
        <v>0</v>
      </c>
      <c r="AK233" s="541">
        <v>0</v>
      </c>
      <c r="AL233" s="541">
        <v>0</v>
      </c>
      <c r="AM233" s="541">
        <v>0</v>
      </c>
      <c r="AN233" s="541">
        <v>0</v>
      </c>
      <c r="AO233" s="541">
        <v>0</v>
      </c>
      <c r="AP233" s="541">
        <v>720</v>
      </c>
      <c r="AQ233" s="541">
        <v>0</v>
      </c>
      <c r="AR233" s="541">
        <v>0</v>
      </c>
      <c r="AS233" s="541">
        <v>0</v>
      </c>
      <c r="AT233" s="543">
        <v>6600</v>
      </c>
      <c r="AU233" s="541">
        <v>0</v>
      </c>
      <c r="AV233" s="541">
        <v>2930.15625</v>
      </c>
      <c r="AW233" s="541">
        <v>0</v>
      </c>
      <c r="AX233" s="541">
        <v>4785</v>
      </c>
      <c r="AY233" s="541">
        <v>2930.15625</v>
      </c>
      <c r="AZ233" s="541">
        <v>0</v>
      </c>
      <c r="BA233" s="541">
        <v>0</v>
      </c>
      <c r="BB233" s="541">
        <v>0</v>
      </c>
      <c r="BC233" s="544">
        <v>116564.3125</v>
      </c>
      <c r="BD233" s="544">
        <v>116564.3125</v>
      </c>
      <c r="BE233" s="511"/>
      <c r="BF233" s="565">
        <v>116564.3125</v>
      </c>
      <c r="BG233" s="565">
        <v>0</v>
      </c>
      <c r="BH233" s="565">
        <v>0</v>
      </c>
      <c r="BI233" s="565">
        <v>0</v>
      </c>
      <c r="BJ233" s="565">
        <v>116564.3125</v>
      </c>
      <c r="BK233" s="565">
        <v>0</v>
      </c>
      <c r="BL233" s="511"/>
      <c r="BM233" s="565">
        <v>45385</v>
      </c>
      <c r="BN233" s="565">
        <v>0</v>
      </c>
    </row>
    <row r="234" spans="1:66" s="403" customFormat="1" ht="13.2" x14ac:dyDescent="0.25">
      <c r="A234" s="547" t="s">
        <v>618</v>
      </c>
      <c r="B234" s="548">
        <v>7040</v>
      </c>
      <c r="C234" s="548" t="s">
        <v>561</v>
      </c>
      <c r="D234" s="548" t="s">
        <v>36</v>
      </c>
      <c r="E234" s="549" t="s">
        <v>845</v>
      </c>
      <c r="F234" s="550"/>
      <c r="G234" s="550"/>
      <c r="H234" s="550"/>
      <c r="I234" s="550">
        <v>0</v>
      </c>
      <c r="J234" s="550">
        <v>0</v>
      </c>
      <c r="K234" s="550">
        <v>0</v>
      </c>
      <c r="L234" s="541">
        <v>0</v>
      </c>
      <c r="M234" s="541" t="s">
        <v>1476</v>
      </c>
      <c r="N234" s="541">
        <v>0</v>
      </c>
      <c r="O234" s="541">
        <v>0</v>
      </c>
      <c r="P234" s="541">
        <v>0</v>
      </c>
      <c r="Q234" s="541">
        <v>0</v>
      </c>
      <c r="R234" s="541">
        <v>0</v>
      </c>
      <c r="S234" s="542" t="s">
        <v>1476</v>
      </c>
      <c r="T234" s="541">
        <v>0</v>
      </c>
      <c r="U234" s="541">
        <v>41218.75</v>
      </c>
      <c r="V234" s="541">
        <v>0</v>
      </c>
      <c r="W234" s="541" t="s">
        <v>1476</v>
      </c>
      <c r="X234" s="543" t="s">
        <v>1476</v>
      </c>
      <c r="Y234" s="541">
        <v>0</v>
      </c>
      <c r="Z234" s="541">
        <v>7112</v>
      </c>
      <c r="AA234" s="541">
        <v>0</v>
      </c>
      <c r="AB234" s="541">
        <v>0</v>
      </c>
      <c r="AC234" s="541">
        <v>0</v>
      </c>
      <c r="AD234" s="541">
        <v>0</v>
      </c>
      <c r="AE234" s="541">
        <v>0</v>
      </c>
      <c r="AF234" s="541">
        <v>0</v>
      </c>
      <c r="AG234" s="541">
        <v>0</v>
      </c>
      <c r="AH234" s="541">
        <v>3223</v>
      </c>
      <c r="AI234" s="541">
        <v>32780</v>
      </c>
      <c r="AJ234" s="541">
        <v>0</v>
      </c>
      <c r="AK234" s="541">
        <v>0</v>
      </c>
      <c r="AL234" s="541">
        <v>0</v>
      </c>
      <c r="AM234" s="541">
        <v>0</v>
      </c>
      <c r="AN234" s="541">
        <v>0</v>
      </c>
      <c r="AO234" s="541">
        <v>0</v>
      </c>
      <c r="AP234" s="541">
        <v>0</v>
      </c>
      <c r="AQ234" s="541">
        <v>0</v>
      </c>
      <c r="AR234" s="541">
        <v>0</v>
      </c>
      <c r="AS234" s="541">
        <v>0</v>
      </c>
      <c r="AT234" s="543">
        <v>29900</v>
      </c>
      <c r="AU234" s="541">
        <v>0</v>
      </c>
      <c r="AV234" s="541">
        <v>0</v>
      </c>
      <c r="AW234" s="541">
        <v>0</v>
      </c>
      <c r="AX234" s="541">
        <v>0</v>
      </c>
      <c r="AY234" s="541">
        <v>0</v>
      </c>
      <c r="AZ234" s="541">
        <v>0</v>
      </c>
      <c r="BA234" s="541">
        <v>0</v>
      </c>
      <c r="BB234" s="541">
        <v>0</v>
      </c>
      <c r="BC234" s="544">
        <v>114233.75</v>
      </c>
      <c r="BD234" s="544">
        <v>114233.75</v>
      </c>
      <c r="BE234" s="547"/>
      <c r="BF234" s="565">
        <v>114233.75</v>
      </c>
      <c r="BG234" s="565">
        <v>0</v>
      </c>
      <c r="BH234" s="565">
        <v>0</v>
      </c>
      <c r="BI234" s="565">
        <v>0</v>
      </c>
      <c r="BJ234" s="565">
        <v>114233.75</v>
      </c>
      <c r="BK234" s="512">
        <v>0</v>
      </c>
      <c r="BL234" s="514"/>
      <c r="BM234" s="512">
        <v>41218.75</v>
      </c>
      <c r="BN234" s="512">
        <v>0</v>
      </c>
    </row>
    <row r="235" spans="1:66" ht="13.2" x14ac:dyDescent="0.25">
      <c r="A235" s="515" t="s">
        <v>618</v>
      </c>
      <c r="B235" s="517">
        <v>7053</v>
      </c>
      <c r="C235" s="517" t="s">
        <v>553</v>
      </c>
      <c r="D235" s="517" t="s">
        <v>36</v>
      </c>
      <c r="E235" s="518" t="s">
        <v>846</v>
      </c>
      <c r="F235" s="540"/>
      <c r="G235" s="540"/>
      <c r="H235" s="540"/>
      <c r="I235" s="540">
        <v>0</v>
      </c>
      <c r="J235" s="540">
        <v>0</v>
      </c>
      <c r="K235" s="540">
        <v>0</v>
      </c>
      <c r="L235" s="541">
        <v>0</v>
      </c>
      <c r="M235" s="541" t="s">
        <v>1476</v>
      </c>
      <c r="N235" s="541">
        <v>0</v>
      </c>
      <c r="O235" s="541">
        <v>0</v>
      </c>
      <c r="P235" s="541">
        <v>0</v>
      </c>
      <c r="Q235" s="541">
        <v>0</v>
      </c>
      <c r="R235" s="541">
        <v>0</v>
      </c>
      <c r="S235" s="542" t="s">
        <v>1476</v>
      </c>
      <c r="T235" s="541">
        <v>10613.75</v>
      </c>
      <c r="U235" s="541">
        <v>10613.75</v>
      </c>
      <c r="V235" s="541">
        <v>10613.75</v>
      </c>
      <c r="W235" s="541">
        <v>10613.75</v>
      </c>
      <c r="X235" s="543" t="s">
        <v>1476</v>
      </c>
      <c r="Y235" s="541">
        <v>0</v>
      </c>
      <c r="Z235" s="541">
        <v>0</v>
      </c>
      <c r="AA235" s="541">
        <v>0</v>
      </c>
      <c r="AB235" s="541">
        <v>1943.16</v>
      </c>
      <c r="AC235" s="541">
        <v>0</v>
      </c>
      <c r="AD235" s="541">
        <v>0</v>
      </c>
      <c r="AE235" s="541">
        <v>0</v>
      </c>
      <c r="AF235" s="541">
        <v>0</v>
      </c>
      <c r="AG235" s="541">
        <v>0</v>
      </c>
      <c r="AH235" s="541">
        <v>0</v>
      </c>
      <c r="AI235" s="541">
        <v>71940</v>
      </c>
      <c r="AJ235" s="541">
        <v>0</v>
      </c>
      <c r="AK235" s="541">
        <v>0</v>
      </c>
      <c r="AL235" s="541">
        <v>0</v>
      </c>
      <c r="AM235" s="541">
        <v>0</v>
      </c>
      <c r="AN235" s="541">
        <v>0</v>
      </c>
      <c r="AO235" s="541">
        <v>0</v>
      </c>
      <c r="AP235" s="541">
        <v>1710</v>
      </c>
      <c r="AQ235" s="541">
        <v>0</v>
      </c>
      <c r="AR235" s="541">
        <v>1200</v>
      </c>
      <c r="AS235" s="541">
        <v>0</v>
      </c>
      <c r="AT235" s="543">
        <v>11600</v>
      </c>
      <c r="AU235" s="541">
        <v>14640</v>
      </c>
      <c r="AV235" s="541">
        <v>13069.6875</v>
      </c>
      <c r="AW235" s="541">
        <v>0</v>
      </c>
      <c r="AX235" s="541">
        <v>6235</v>
      </c>
      <c r="AY235" s="541">
        <v>4009.6875000000005</v>
      </c>
      <c r="AZ235" s="541">
        <v>8540</v>
      </c>
      <c r="BA235" s="541">
        <v>0</v>
      </c>
      <c r="BB235" s="541">
        <v>0</v>
      </c>
      <c r="BC235" s="544">
        <v>177342.535</v>
      </c>
      <c r="BD235" s="544">
        <v>177342.535</v>
      </c>
      <c r="BE235" s="511"/>
      <c r="BF235" s="565">
        <v>175399.375</v>
      </c>
      <c r="BG235" s="565">
        <v>0</v>
      </c>
      <c r="BH235" s="565">
        <v>0</v>
      </c>
      <c r="BI235" s="565">
        <v>1943.16</v>
      </c>
      <c r="BJ235" s="565">
        <v>177342.535</v>
      </c>
      <c r="BK235" s="565">
        <v>0</v>
      </c>
      <c r="BL235" s="511"/>
      <c r="BM235" s="565">
        <v>42455</v>
      </c>
      <c r="BN235" s="565">
        <v>0</v>
      </c>
    </row>
    <row r="236" spans="1:66" ht="13.2" x14ac:dyDescent="0.25">
      <c r="A236" s="515" t="s">
        <v>614</v>
      </c>
      <c r="B236" s="517">
        <v>7045</v>
      </c>
      <c r="C236" s="517" t="s">
        <v>563</v>
      </c>
      <c r="D236" s="517" t="s">
        <v>36</v>
      </c>
      <c r="E236" s="518" t="s">
        <v>847</v>
      </c>
      <c r="F236" s="540"/>
      <c r="G236" s="540"/>
      <c r="H236" s="540"/>
      <c r="I236" s="540">
        <v>0</v>
      </c>
      <c r="J236" s="540">
        <v>0</v>
      </c>
      <c r="K236" s="540">
        <v>0</v>
      </c>
      <c r="L236" s="541">
        <v>0</v>
      </c>
      <c r="M236" s="541" t="s">
        <v>1476</v>
      </c>
      <c r="N236" s="541">
        <v>0</v>
      </c>
      <c r="O236" s="541">
        <v>0</v>
      </c>
      <c r="P236" s="541">
        <v>0</v>
      </c>
      <c r="Q236" s="541">
        <v>0</v>
      </c>
      <c r="R236" s="541">
        <v>0</v>
      </c>
      <c r="S236" s="542" t="s">
        <v>1476</v>
      </c>
      <c r="T236" s="541">
        <v>30452.5</v>
      </c>
      <c r="U236" s="541">
        <v>30452.5</v>
      </c>
      <c r="V236" s="541">
        <v>30116.25</v>
      </c>
      <c r="W236" s="541">
        <v>29443.75</v>
      </c>
      <c r="X236" s="543" t="s">
        <v>1476</v>
      </c>
      <c r="Y236" s="541">
        <v>0</v>
      </c>
      <c r="Z236" s="541">
        <v>17170</v>
      </c>
      <c r="AA236" s="541">
        <v>0</v>
      </c>
      <c r="AB236" s="541">
        <v>0</v>
      </c>
      <c r="AC236" s="541">
        <v>0</v>
      </c>
      <c r="AD236" s="541">
        <v>0</v>
      </c>
      <c r="AE236" s="541">
        <v>0</v>
      </c>
      <c r="AF236" s="541">
        <v>0</v>
      </c>
      <c r="AG236" s="541">
        <v>0</v>
      </c>
      <c r="AH236" s="541">
        <v>15043</v>
      </c>
      <c r="AI236" s="541">
        <v>139920</v>
      </c>
      <c r="AJ236" s="541">
        <v>0</v>
      </c>
      <c r="AK236" s="541">
        <v>0</v>
      </c>
      <c r="AL236" s="541">
        <v>0</v>
      </c>
      <c r="AM236" s="541">
        <v>0</v>
      </c>
      <c r="AN236" s="541">
        <v>0</v>
      </c>
      <c r="AO236" s="541">
        <v>0</v>
      </c>
      <c r="AP236" s="541">
        <v>0</v>
      </c>
      <c r="AQ236" s="541">
        <v>0</v>
      </c>
      <c r="AR236" s="541">
        <v>0</v>
      </c>
      <c r="AS236" s="541">
        <v>0</v>
      </c>
      <c r="AT236" s="543">
        <v>20900</v>
      </c>
      <c r="AU236" s="541">
        <v>13620</v>
      </c>
      <c r="AV236" s="541">
        <v>18158.90625</v>
      </c>
      <c r="AW236" s="541">
        <v>0</v>
      </c>
      <c r="AX236" s="541">
        <v>14645</v>
      </c>
      <c r="AY236" s="541">
        <v>9098.90625</v>
      </c>
      <c r="AZ236" s="541">
        <v>8540</v>
      </c>
      <c r="BA236" s="541">
        <v>0</v>
      </c>
      <c r="BB236" s="541">
        <v>0</v>
      </c>
      <c r="BC236" s="544">
        <v>377560.8125</v>
      </c>
      <c r="BD236" s="544">
        <v>377560.8125</v>
      </c>
      <c r="BE236" s="511"/>
      <c r="BF236" s="565">
        <v>377560.8125</v>
      </c>
      <c r="BG236" s="565">
        <v>0</v>
      </c>
      <c r="BH236" s="565">
        <v>0</v>
      </c>
      <c r="BI236" s="565">
        <v>0</v>
      </c>
      <c r="BJ236" s="565">
        <v>377560.8125</v>
      </c>
      <c r="BK236" s="565">
        <v>0</v>
      </c>
      <c r="BL236" s="511"/>
      <c r="BM236" s="565">
        <v>120465</v>
      </c>
      <c r="BN236" s="565">
        <v>0</v>
      </c>
    </row>
    <row r="237" spans="1:66" ht="13.2" x14ac:dyDescent="0.25">
      <c r="A237" s="515" t="s">
        <v>618</v>
      </c>
      <c r="B237" s="517">
        <v>7034</v>
      </c>
      <c r="C237" s="517" t="s">
        <v>565</v>
      </c>
      <c r="D237" s="517" t="s">
        <v>36</v>
      </c>
      <c r="E237" s="518" t="s">
        <v>848</v>
      </c>
      <c r="F237" s="540"/>
      <c r="G237" s="540"/>
      <c r="H237" s="540"/>
      <c r="I237" s="540">
        <v>0</v>
      </c>
      <c r="J237" s="540">
        <v>0</v>
      </c>
      <c r="K237" s="540">
        <v>0</v>
      </c>
      <c r="L237" s="541">
        <v>0</v>
      </c>
      <c r="M237" s="541" t="s">
        <v>1476</v>
      </c>
      <c r="N237" s="541">
        <v>0</v>
      </c>
      <c r="O237" s="541">
        <v>0</v>
      </c>
      <c r="P237" s="541">
        <v>0</v>
      </c>
      <c r="Q237" s="541">
        <v>0</v>
      </c>
      <c r="R237" s="541">
        <v>0</v>
      </c>
      <c r="S237" s="542" t="s">
        <v>1476</v>
      </c>
      <c r="T237" s="541">
        <v>10111.25</v>
      </c>
      <c r="U237" s="541">
        <v>10111.25</v>
      </c>
      <c r="V237" s="541">
        <v>10111.25</v>
      </c>
      <c r="W237" s="541">
        <v>10111.25</v>
      </c>
      <c r="X237" s="543" t="s">
        <v>1476</v>
      </c>
      <c r="Y237" s="541">
        <v>0</v>
      </c>
      <c r="Z237" s="541">
        <v>16297</v>
      </c>
      <c r="AA237" s="541">
        <v>0</v>
      </c>
      <c r="AB237" s="541">
        <v>1098.31</v>
      </c>
      <c r="AC237" s="541">
        <v>0</v>
      </c>
      <c r="AD237" s="541">
        <v>0</v>
      </c>
      <c r="AE237" s="541">
        <v>0</v>
      </c>
      <c r="AF237" s="541">
        <v>0</v>
      </c>
      <c r="AG237" s="541">
        <v>0</v>
      </c>
      <c r="AH237" s="541">
        <v>2261</v>
      </c>
      <c r="AI237" s="541">
        <v>58740</v>
      </c>
      <c r="AJ237" s="541">
        <v>0</v>
      </c>
      <c r="AK237" s="541">
        <v>0</v>
      </c>
      <c r="AL237" s="541">
        <v>0</v>
      </c>
      <c r="AM237" s="541">
        <v>0</v>
      </c>
      <c r="AN237" s="541">
        <v>0</v>
      </c>
      <c r="AO237" s="541">
        <v>0</v>
      </c>
      <c r="AP237" s="541">
        <v>0</v>
      </c>
      <c r="AQ237" s="541">
        <v>0</v>
      </c>
      <c r="AR237" s="541">
        <v>0</v>
      </c>
      <c r="AS237" s="541">
        <v>0</v>
      </c>
      <c r="AT237" s="543">
        <v>8600</v>
      </c>
      <c r="AU237" s="541">
        <v>12600</v>
      </c>
      <c r="AV237" s="541">
        <v>12144.375</v>
      </c>
      <c r="AW237" s="541">
        <v>0</v>
      </c>
      <c r="AX237" s="541">
        <v>5075</v>
      </c>
      <c r="AY237" s="541">
        <v>3084.375</v>
      </c>
      <c r="AZ237" s="541">
        <v>0</v>
      </c>
      <c r="BA237" s="541">
        <v>0</v>
      </c>
      <c r="BB237" s="541">
        <v>0</v>
      </c>
      <c r="BC237" s="544">
        <v>160345.06</v>
      </c>
      <c r="BD237" s="544">
        <v>160345.06</v>
      </c>
      <c r="BE237" s="511"/>
      <c r="BF237" s="565">
        <v>159246.75</v>
      </c>
      <c r="BG237" s="565">
        <v>0</v>
      </c>
      <c r="BH237" s="565">
        <v>0</v>
      </c>
      <c r="BI237" s="565">
        <v>1098.31</v>
      </c>
      <c r="BJ237" s="565">
        <v>160345.06</v>
      </c>
      <c r="BK237" s="565">
        <v>0</v>
      </c>
      <c r="BL237" s="511"/>
      <c r="BM237" s="565">
        <v>40445</v>
      </c>
      <c r="BN237" s="565">
        <v>0</v>
      </c>
    </row>
    <row r="238" spans="1:66" ht="13.2" x14ac:dyDescent="0.25">
      <c r="A238" s="515" t="s">
        <v>616</v>
      </c>
      <c r="B238" s="517">
        <v>7033</v>
      </c>
      <c r="C238" s="517" t="s">
        <v>568</v>
      </c>
      <c r="D238" s="517" t="s">
        <v>107</v>
      </c>
      <c r="E238" s="518" t="s">
        <v>849</v>
      </c>
      <c r="F238" s="540"/>
      <c r="G238" s="540"/>
      <c r="H238" s="540"/>
      <c r="I238" s="540">
        <v>0</v>
      </c>
      <c r="J238" s="540">
        <v>0</v>
      </c>
      <c r="K238" s="540">
        <v>0</v>
      </c>
      <c r="L238" s="541">
        <v>0</v>
      </c>
      <c r="M238" s="541" t="s">
        <v>1476</v>
      </c>
      <c r="N238" s="541">
        <v>429993</v>
      </c>
      <c r="O238" s="541">
        <v>0</v>
      </c>
      <c r="P238" s="541">
        <v>0</v>
      </c>
      <c r="Q238" s="541">
        <v>0</v>
      </c>
      <c r="R238" s="541">
        <v>0</v>
      </c>
      <c r="S238" s="542" t="s">
        <v>1476</v>
      </c>
      <c r="T238" s="541">
        <v>38916.25</v>
      </c>
      <c r="U238" s="541">
        <v>38916.25</v>
      </c>
      <c r="V238" s="541">
        <v>38916.25</v>
      </c>
      <c r="W238" s="541">
        <v>38916.25</v>
      </c>
      <c r="X238" s="543" t="s">
        <v>1476</v>
      </c>
      <c r="Y238" s="541">
        <v>0</v>
      </c>
      <c r="Z238" s="541">
        <v>0</v>
      </c>
      <c r="AA238" s="541">
        <v>0</v>
      </c>
      <c r="AB238" s="541">
        <v>7181.21</v>
      </c>
      <c r="AC238" s="541">
        <v>0</v>
      </c>
      <c r="AD238" s="541">
        <v>0</v>
      </c>
      <c r="AE238" s="541">
        <v>0</v>
      </c>
      <c r="AF238" s="541">
        <v>0</v>
      </c>
      <c r="AG238" s="541">
        <v>0</v>
      </c>
      <c r="AH238" s="541">
        <v>0</v>
      </c>
      <c r="AI238" s="541">
        <v>255420</v>
      </c>
      <c r="AJ238" s="541">
        <v>0</v>
      </c>
      <c r="AK238" s="541">
        <v>0</v>
      </c>
      <c r="AL238" s="541">
        <v>0</v>
      </c>
      <c r="AM238" s="541">
        <v>0</v>
      </c>
      <c r="AN238" s="541">
        <v>0</v>
      </c>
      <c r="AO238" s="541">
        <v>0</v>
      </c>
      <c r="AP238" s="541">
        <v>0</v>
      </c>
      <c r="AQ238" s="541">
        <v>0</v>
      </c>
      <c r="AR238" s="541">
        <v>1200</v>
      </c>
      <c r="AS238" s="541">
        <v>0</v>
      </c>
      <c r="AT238" s="543">
        <v>38700</v>
      </c>
      <c r="AU238" s="541">
        <v>11300</v>
      </c>
      <c r="AV238" s="541">
        <v>15113.437500000002</v>
      </c>
      <c r="AW238" s="541">
        <v>0</v>
      </c>
      <c r="AX238" s="541">
        <v>23635</v>
      </c>
      <c r="AY238" s="541">
        <v>15113.437500000002</v>
      </c>
      <c r="AZ238" s="541">
        <v>8540</v>
      </c>
      <c r="BA238" s="541">
        <v>0</v>
      </c>
      <c r="BB238" s="541">
        <v>0</v>
      </c>
      <c r="BC238" s="544">
        <v>961861.08499999996</v>
      </c>
      <c r="BD238" s="544">
        <v>961861.08499999996</v>
      </c>
      <c r="BE238" s="511"/>
      <c r="BF238" s="565">
        <v>524686.875</v>
      </c>
      <c r="BG238" s="565">
        <v>429993</v>
      </c>
      <c r="BH238" s="565">
        <v>0</v>
      </c>
      <c r="BI238" s="565">
        <v>7181.21</v>
      </c>
      <c r="BJ238" s="565">
        <v>961861.08499999996</v>
      </c>
      <c r="BK238" s="565">
        <v>0</v>
      </c>
      <c r="BL238" s="511"/>
      <c r="BM238" s="565">
        <v>155665</v>
      </c>
      <c r="BN238" s="565">
        <v>0</v>
      </c>
    </row>
    <row r="239" spans="1:66" s="403" customFormat="1" ht="13.2" x14ac:dyDescent="0.25">
      <c r="A239" s="547" t="s">
        <v>618</v>
      </c>
      <c r="B239" s="548">
        <v>7037</v>
      </c>
      <c r="C239" s="548" t="s">
        <v>570</v>
      </c>
      <c r="D239" s="548" t="s">
        <v>36</v>
      </c>
      <c r="E239" s="549" t="s">
        <v>850</v>
      </c>
      <c r="F239" s="550"/>
      <c r="G239" s="550"/>
      <c r="H239" s="550"/>
      <c r="I239" s="550">
        <v>0</v>
      </c>
      <c r="J239" s="550">
        <v>0</v>
      </c>
      <c r="K239" s="550">
        <v>0</v>
      </c>
      <c r="L239" s="541">
        <v>0</v>
      </c>
      <c r="M239" s="541" t="s">
        <v>1476</v>
      </c>
      <c r="N239" s="541">
        <v>0</v>
      </c>
      <c r="O239" s="541">
        <v>0</v>
      </c>
      <c r="P239" s="541">
        <v>0</v>
      </c>
      <c r="Q239" s="541">
        <v>0</v>
      </c>
      <c r="R239" s="541">
        <v>0</v>
      </c>
      <c r="S239" s="542" t="s">
        <v>1476</v>
      </c>
      <c r="T239" s="541">
        <v>21250</v>
      </c>
      <c r="U239" s="541">
        <v>14166.666666666664</v>
      </c>
      <c r="V239" s="541">
        <v>0</v>
      </c>
      <c r="W239" s="541" t="s">
        <v>1476</v>
      </c>
      <c r="X239" s="543" t="s">
        <v>1476</v>
      </c>
      <c r="Y239" s="541">
        <v>0</v>
      </c>
      <c r="Z239" s="541">
        <v>6921</v>
      </c>
      <c r="AA239" s="541">
        <v>0</v>
      </c>
      <c r="AB239" s="541">
        <v>0</v>
      </c>
      <c r="AC239" s="541">
        <v>0</v>
      </c>
      <c r="AD239" s="541">
        <v>0</v>
      </c>
      <c r="AE239" s="541">
        <v>0</v>
      </c>
      <c r="AF239" s="541">
        <v>0</v>
      </c>
      <c r="AG239" s="541">
        <v>0</v>
      </c>
      <c r="AH239" s="541">
        <v>0</v>
      </c>
      <c r="AI239" s="541">
        <v>18700</v>
      </c>
      <c r="AJ239" s="541">
        <v>0</v>
      </c>
      <c r="AK239" s="541">
        <v>0</v>
      </c>
      <c r="AL239" s="541">
        <v>0</v>
      </c>
      <c r="AM239" s="541">
        <v>0</v>
      </c>
      <c r="AN239" s="541">
        <v>0</v>
      </c>
      <c r="AO239" s="541">
        <v>0</v>
      </c>
      <c r="AP239" s="541">
        <v>0</v>
      </c>
      <c r="AQ239" s="541">
        <v>0</v>
      </c>
      <c r="AR239" s="541">
        <v>0</v>
      </c>
      <c r="AS239" s="541">
        <v>0</v>
      </c>
      <c r="AT239" s="543">
        <v>6500</v>
      </c>
      <c r="AU239" s="541">
        <v>0</v>
      </c>
      <c r="AV239" s="541">
        <v>0</v>
      </c>
      <c r="AW239" s="541">
        <v>0</v>
      </c>
      <c r="AX239" s="541">
        <v>0</v>
      </c>
      <c r="AY239" s="541">
        <v>0</v>
      </c>
      <c r="AZ239" s="541">
        <v>0</v>
      </c>
      <c r="BA239" s="541">
        <v>0</v>
      </c>
      <c r="BB239" s="541">
        <v>0</v>
      </c>
      <c r="BC239" s="544">
        <v>67537.666666666657</v>
      </c>
      <c r="BD239" s="544">
        <v>67537.666666666657</v>
      </c>
      <c r="BE239" s="547"/>
      <c r="BF239" s="565">
        <v>67537.666666666657</v>
      </c>
      <c r="BG239" s="565">
        <v>0</v>
      </c>
      <c r="BH239" s="565">
        <v>0</v>
      </c>
      <c r="BI239" s="565">
        <v>0</v>
      </c>
      <c r="BJ239" s="565">
        <v>67537.666666666657</v>
      </c>
      <c r="BK239" s="512">
        <v>0</v>
      </c>
      <c r="BL239" s="514"/>
      <c r="BM239" s="512">
        <v>35416.666666666664</v>
      </c>
      <c r="BN239" s="512">
        <v>0</v>
      </c>
    </row>
    <row r="240" spans="1:66" ht="13.2" x14ac:dyDescent="0.25">
      <c r="A240" s="515" t="s">
        <v>618</v>
      </c>
      <c r="B240" s="517">
        <v>7047</v>
      </c>
      <c r="C240" s="517" t="s">
        <v>572</v>
      </c>
      <c r="D240" s="517" t="s">
        <v>36</v>
      </c>
      <c r="E240" s="518" t="s">
        <v>851</v>
      </c>
      <c r="F240" s="540"/>
      <c r="G240" s="540"/>
      <c r="H240" s="540"/>
      <c r="I240" s="540">
        <v>0</v>
      </c>
      <c r="J240" s="540">
        <v>0</v>
      </c>
      <c r="K240" s="540">
        <v>0</v>
      </c>
      <c r="L240" s="541">
        <v>0</v>
      </c>
      <c r="M240" s="541" t="s">
        <v>1476</v>
      </c>
      <c r="N240" s="541">
        <v>0</v>
      </c>
      <c r="O240" s="541">
        <v>0</v>
      </c>
      <c r="P240" s="541">
        <v>0</v>
      </c>
      <c r="Q240" s="541">
        <v>0</v>
      </c>
      <c r="R240" s="541">
        <v>0</v>
      </c>
      <c r="S240" s="542" t="s">
        <v>1476</v>
      </c>
      <c r="T240" s="541">
        <v>22157.5</v>
      </c>
      <c r="U240" s="541">
        <v>22157.5</v>
      </c>
      <c r="V240" s="541">
        <v>22157.5</v>
      </c>
      <c r="W240" s="541">
        <v>22157.5</v>
      </c>
      <c r="X240" s="543" t="s">
        <v>1476</v>
      </c>
      <c r="Y240" s="541">
        <v>0</v>
      </c>
      <c r="Z240" s="541">
        <v>16903</v>
      </c>
      <c r="AA240" s="541">
        <v>0</v>
      </c>
      <c r="AB240" s="541">
        <v>0</v>
      </c>
      <c r="AC240" s="541">
        <v>0</v>
      </c>
      <c r="AD240" s="541">
        <v>0</v>
      </c>
      <c r="AE240" s="541">
        <v>0</v>
      </c>
      <c r="AF240" s="541">
        <v>0</v>
      </c>
      <c r="AG240" s="541">
        <v>0</v>
      </c>
      <c r="AH240" s="541">
        <v>2465</v>
      </c>
      <c r="AI240" s="541">
        <v>57420</v>
      </c>
      <c r="AJ240" s="541">
        <v>0</v>
      </c>
      <c r="AK240" s="541">
        <v>0</v>
      </c>
      <c r="AL240" s="541">
        <v>0</v>
      </c>
      <c r="AM240" s="541">
        <v>0</v>
      </c>
      <c r="AN240" s="541">
        <v>0</v>
      </c>
      <c r="AO240" s="541">
        <v>0</v>
      </c>
      <c r="AP240" s="541">
        <v>0</v>
      </c>
      <c r="AQ240" s="541">
        <v>0</v>
      </c>
      <c r="AR240" s="541">
        <v>0</v>
      </c>
      <c r="AS240" s="541">
        <v>0</v>
      </c>
      <c r="AT240" s="543">
        <v>9800</v>
      </c>
      <c r="AU240" s="541">
        <v>0</v>
      </c>
      <c r="AV240" s="541">
        <v>5397.65625</v>
      </c>
      <c r="AW240" s="541">
        <v>0</v>
      </c>
      <c r="AX240" s="541">
        <v>8410</v>
      </c>
      <c r="AY240" s="541">
        <v>5397.65625</v>
      </c>
      <c r="AZ240" s="541">
        <v>0</v>
      </c>
      <c r="BA240" s="541">
        <v>0</v>
      </c>
      <c r="BB240" s="541">
        <v>0</v>
      </c>
      <c r="BC240" s="544">
        <v>194423.3125</v>
      </c>
      <c r="BD240" s="544">
        <v>194423.3125</v>
      </c>
      <c r="BE240" s="511"/>
      <c r="BF240" s="565">
        <v>194423.3125</v>
      </c>
      <c r="BG240" s="565">
        <v>0</v>
      </c>
      <c r="BH240" s="565">
        <v>0</v>
      </c>
      <c r="BI240" s="565">
        <v>0</v>
      </c>
      <c r="BJ240" s="565">
        <v>194423.3125</v>
      </c>
      <c r="BK240" s="565">
        <v>0</v>
      </c>
      <c r="BL240" s="511"/>
      <c r="BM240" s="565">
        <v>88630</v>
      </c>
      <c r="BN240" s="565">
        <v>0</v>
      </c>
    </row>
    <row r="241" spans="1:66" ht="13.2" x14ac:dyDescent="0.25">
      <c r="A241" s="515" t="s">
        <v>616</v>
      </c>
      <c r="B241" s="517">
        <v>7014</v>
      </c>
      <c r="C241" s="517" t="s">
        <v>574</v>
      </c>
      <c r="D241" s="517" t="s">
        <v>107</v>
      </c>
      <c r="E241" s="518" t="s">
        <v>852</v>
      </c>
      <c r="F241" s="540"/>
      <c r="G241" s="540"/>
      <c r="H241" s="540"/>
      <c r="I241" s="540">
        <v>0</v>
      </c>
      <c r="J241" s="540">
        <v>0</v>
      </c>
      <c r="K241" s="540">
        <v>0</v>
      </c>
      <c r="L241" s="541">
        <v>73503</v>
      </c>
      <c r="M241" s="541" t="s">
        <v>1476</v>
      </c>
      <c r="N241" s="541">
        <v>917977</v>
      </c>
      <c r="O241" s="541">
        <v>0</v>
      </c>
      <c r="P241" s="541">
        <v>0</v>
      </c>
      <c r="Q241" s="541">
        <v>0</v>
      </c>
      <c r="R241" s="541">
        <v>0</v>
      </c>
      <c r="S241" s="542" t="s">
        <v>1476</v>
      </c>
      <c r="T241" s="541">
        <v>25541.25</v>
      </c>
      <c r="U241" s="541">
        <v>25541.25</v>
      </c>
      <c r="V241" s="541">
        <v>25302.5</v>
      </c>
      <c r="W241" s="541">
        <v>24825</v>
      </c>
      <c r="X241" s="543" t="s">
        <v>1476</v>
      </c>
      <c r="Y241" s="541">
        <v>0</v>
      </c>
      <c r="Z241" s="541">
        <v>16810</v>
      </c>
      <c r="AA241" s="541">
        <v>0</v>
      </c>
      <c r="AB241" s="541">
        <v>1351.76</v>
      </c>
      <c r="AC241" s="541">
        <v>0</v>
      </c>
      <c r="AD241" s="541">
        <v>0</v>
      </c>
      <c r="AE241" s="541">
        <v>0</v>
      </c>
      <c r="AF241" s="541">
        <v>0</v>
      </c>
      <c r="AG241" s="541">
        <v>0</v>
      </c>
      <c r="AH241" s="541">
        <v>9615</v>
      </c>
      <c r="AI241" s="541">
        <v>154440</v>
      </c>
      <c r="AJ241" s="541">
        <v>0</v>
      </c>
      <c r="AK241" s="541">
        <v>0</v>
      </c>
      <c r="AL241" s="541">
        <v>0</v>
      </c>
      <c r="AM241" s="541">
        <v>0</v>
      </c>
      <c r="AN241" s="541">
        <v>0</v>
      </c>
      <c r="AO241" s="541">
        <v>0</v>
      </c>
      <c r="AP241" s="541">
        <v>2183.5</v>
      </c>
      <c r="AQ241" s="541">
        <v>0</v>
      </c>
      <c r="AR241" s="541">
        <v>0</v>
      </c>
      <c r="AS241" s="541">
        <v>0</v>
      </c>
      <c r="AT241" s="543">
        <v>22800</v>
      </c>
      <c r="AU241" s="541">
        <v>850</v>
      </c>
      <c r="AV241" s="541">
        <v>8173.5937500000009</v>
      </c>
      <c r="AW241" s="541">
        <v>0</v>
      </c>
      <c r="AX241" s="541">
        <v>13050</v>
      </c>
      <c r="AY241" s="541">
        <v>8173.5937500000009</v>
      </c>
      <c r="AZ241" s="541">
        <v>0</v>
      </c>
      <c r="BA241" s="541">
        <v>0</v>
      </c>
      <c r="BB241" s="541">
        <v>0</v>
      </c>
      <c r="BC241" s="544">
        <v>1330137.4475</v>
      </c>
      <c r="BD241" s="544">
        <v>1330137.4475</v>
      </c>
      <c r="BE241" s="511"/>
      <c r="BF241" s="565">
        <v>337305.6875</v>
      </c>
      <c r="BG241" s="565">
        <v>991480</v>
      </c>
      <c r="BH241" s="565">
        <v>0</v>
      </c>
      <c r="BI241" s="565">
        <v>1351.76</v>
      </c>
      <c r="BJ241" s="565">
        <v>1330137.4475</v>
      </c>
      <c r="BK241" s="565">
        <v>0</v>
      </c>
      <c r="BL241" s="511"/>
      <c r="BM241" s="565">
        <v>101210</v>
      </c>
      <c r="BN241" s="565">
        <v>0</v>
      </c>
    </row>
    <row r="242" spans="1:66" s="404" customFormat="1" ht="13.2" x14ac:dyDescent="0.25">
      <c r="A242" s="515" t="s">
        <v>616</v>
      </c>
      <c r="B242" s="517">
        <v>7009</v>
      </c>
      <c r="C242" s="517" t="s">
        <v>576</v>
      </c>
      <c r="D242" s="517" t="s">
        <v>107</v>
      </c>
      <c r="E242" s="518" t="s">
        <v>1477</v>
      </c>
      <c r="F242" s="554"/>
      <c r="G242" s="554"/>
      <c r="H242" s="554"/>
      <c r="I242" s="540">
        <v>0</v>
      </c>
      <c r="J242" s="540">
        <v>0</v>
      </c>
      <c r="K242" s="540">
        <v>0</v>
      </c>
      <c r="L242" s="541">
        <v>0</v>
      </c>
      <c r="M242" s="541" t="s">
        <v>1476</v>
      </c>
      <c r="N242" s="541">
        <v>230559</v>
      </c>
      <c r="O242" s="541">
        <v>0</v>
      </c>
      <c r="P242" s="541">
        <v>0</v>
      </c>
      <c r="Q242" s="541">
        <v>0</v>
      </c>
      <c r="R242" s="541">
        <v>0</v>
      </c>
      <c r="S242" s="542" t="s">
        <v>1476</v>
      </c>
      <c r="T242" s="541">
        <v>40791.25</v>
      </c>
      <c r="U242" s="541">
        <v>40791.25</v>
      </c>
      <c r="V242" s="541">
        <v>40552.5</v>
      </c>
      <c r="W242" s="541">
        <v>40075</v>
      </c>
      <c r="X242" s="543" t="s">
        <v>1476</v>
      </c>
      <c r="Y242" s="541">
        <v>0</v>
      </c>
      <c r="Z242" s="541">
        <v>16864</v>
      </c>
      <c r="AA242" s="541">
        <v>0</v>
      </c>
      <c r="AB242" s="541">
        <v>2534.56</v>
      </c>
      <c r="AC242" s="541">
        <v>0</v>
      </c>
      <c r="AD242" s="541">
        <v>0</v>
      </c>
      <c r="AE242" s="541">
        <v>0</v>
      </c>
      <c r="AF242" s="541">
        <v>0</v>
      </c>
      <c r="AG242" s="541">
        <v>0</v>
      </c>
      <c r="AH242" s="541">
        <v>5965</v>
      </c>
      <c r="AI242" s="541">
        <v>147180</v>
      </c>
      <c r="AJ242" s="541">
        <v>0</v>
      </c>
      <c r="AK242" s="541">
        <v>0</v>
      </c>
      <c r="AL242" s="541">
        <v>0</v>
      </c>
      <c r="AM242" s="541">
        <v>0</v>
      </c>
      <c r="AN242" s="541">
        <v>0</v>
      </c>
      <c r="AO242" s="541">
        <v>0</v>
      </c>
      <c r="AP242" s="541">
        <v>0</v>
      </c>
      <c r="AQ242" s="541">
        <v>0</v>
      </c>
      <c r="AR242" s="541">
        <v>0</v>
      </c>
      <c r="AS242" s="541">
        <v>0</v>
      </c>
      <c r="AT242" s="543">
        <v>22100</v>
      </c>
      <c r="AU242" s="541">
        <v>13620</v>
      </c>
      <c r="AV242" s="541">
        <v>12337.5</v>
      </c>
      <c r="AW242" s="541">
        <v>0</v>
      </c>
      <c r="AX242" s="541">
        <v>20010</v>
      </c>
      <c r="AY242" s="541">
        <v>12337.5</v>
      </c>
      <c r="AZ242" s="541">
        <v>8540</v>
      </c>
      <c r="BA242" s="541">
        <v>0</v>
      </c>
      <c r="BB242" s="541">
        <v>0</v>
      </c>
      <c r="BC242" s="544">
        <v>654257.56000000006</v>
      </c>
      <c r="BD242" s="544">
        <v>654257.56000000006</v>
      </c>
      <c r="BE242" s="515"/>
      <c r="BF242" s="565">
        <v>421164</v>
      </c>
      <c r="BG242" s="565">
        <v>230559</v>
      </c>
      <c r="BH242" s="565">
        <v>0</v>
      </c>
      <c r="BI242" s="565">
        <v>2534.56</v>
      </c>
      <c r="BJ242" s="565">
        <v>654257.56000000006</v>
      </c>
      <c r="BK242" s="565">
        <v>0</v>
      </c>
      <c r="BL242" s="566"/>
      <c r="BM242" s="565">
        <v>162210</v>
      </c>
      <c r="BN242" s="565">
        <v>0</v>
      </c>
    </row>
    <row r="243" spans="1:66" ht="13.2" x14ac:dyDescent="0.25">
      <c r="A243" s="511"/>
      <c r="B243" s="511"/>
      <c r="C243" s="511"/>
      <c r="D243" s="511"/>
      <c r="E243" s="511"/>
      <c r="F243" s="555"/>
      <c r="G243" s="555"/>
      <c r="H243" s="555"/>
      <c r="I243" s="555"/>
      <c r="J243" s="555"/>
      <c r="K243" s="555"/>
      <c r="L243" s="556"/>
      <c r="M243" s="556"/>
      <c r="N243" s="556"/>
      <c r="O243" s="556"/>
      <c r="P243" s="556"/>
      <c r="Q243" s="556"/>
      <c r="R243" s="556"/>
      <c r="S243" s="557"/>
      <c r="T243" s="556"/>
      <c r="U243" s="556"/>
      <c r="V243" s="556"/>
      <c r="W243" s="556"/>
      <c r="X243" s="558"/>
      <c r="Y243" s="556"/>
      <c r="Z243" s="556"/>
      <c r="AA243" s="556"/>
      <c r="AB243" s="556"/>
      <c r="AC243" s="556"/>
      <c r="AD243" s="556"/>
      <c r="AE243" s="556"/>
      <c r="AF243" s="556"/>
      <c r="AG243" s="556"/>
      <c r="AH243" s="556"/>
      <c r="AI243" s="556"/>
      <c r="AJ243" s="556"/>
      <c r="AK243" s="556"/>
      <c r="AL243" s="556"/>
      <c r="AM243" s="556"/>
      <c r="AN243" s="556"/>
      <c r="AO243" s="556"/>
      <c r="AP243" s="556"/>
      <c r="AQ243" s="556"/>
      <c r="AR243" s="556"/>
      <c r="AS243" s="556"/>
      <c r="AT243" s="558"/>
      <c r="AU243" s="556"/>
      <c r="AV243" s="556"/>
      <c r="AW243" s="556"/>
      <c r="AX243" s="556"/>
      <c r="AY243" s="556"/>
      <c r="AZ243" s="556"/>
      <c r="BA243" s="556"/>
      <c r="BB243" s="556"/>
      <c r="BC243" s="555"/>
      <c r="BD243" s="555"/>
      <c r="BE243" s="511"/>
      <c r="BF243" s="565">
        <v>0</v>
      </c>
      <c r="BG243" s="565">
        <v>0</v>
      </c>
      <c r="BH243" s="565">
        <v>0</v>
      </c>
      <c r="BI243" s="565">
        <v>0</v>
      </c>
      <c r="BJ243" s="565">
        <v>0</v>
      </c>
      <c r="BK243" s="565">
        <v>0</v>
      </c>
      <c r="BL243" s="565">
        <v>0</v>
      </c>
      <c r="BM243" s="565">
        <v>37709948.749999993</v>
      </c>
      <c r="BN243" s="565">
        <v>2192972.6257631024</v>
      </c>
    </row>
    <row r="244" spans="1:66" s="402" customFormat="1" x14ac:dyDescent="0.3">
      <c r="A244" s="559"/>
      <c r="B244" s="568" t="s">
        <v>853</v>
      </c>
      <c r="C244" s="560">
        <v>27</v>
      </c>
      <c r="D244" s="560"/>
      <c r="E244" s="564"/>
      <c r="F244" s="567">
        <v>0</v>
      </c>
      <c r="G244" s="567">
        <v>0</v>
      </c>
      <c r="H244" s="567">
        <v>0</v>
      </c>
      <c r="I244" s="567">
        <v>162359.44624999998</v>
      </c>
      <c r="J244" s="567">
        <v>74342.17</v>
      </c>
      <c r="K244" s="567">
        <v>114905.8725</v>
      </c>
      <c r="L244" s="567">
        <v>34095</v>
      </c>
      <c r="M244" s="567">
        <v>0</v>
      </c>
      <c r="N244" s="567">
        <v>0</v>
      </c>
      <c r="O244" s="567">
        <v>0</v>
      </c>
      <c r="P244" s="567">
        <v>0</v>
      </c>
      <c r="Q244" s="567">
        <v>38046.666666666672</v>
      </c>
      <c r="R244" s="567">
        <v>30437.333333333336</v>
      </c>
      <c r="S244" s="567">
        <v>67823.76999999999</v>
      </c>
      <c r="T244" s="567">
        <v>0</v>
      </c>
      <c r="U244" s="567">
        <v>0</v>
      </c>
      <c r="V244" s="567">
        <v>0</v>
      </c>
      <c r="W244" s="567">
        <v>0</v>
      </c>
      <c r="X244" s="567">
        <v>0</v>
      </c>
      <c r="Y244" s="567">
        <v>0</v>
      </c>
      <c r="Z244" s="567">
        <v>0</v>
      </c>
      <c r="AA244" s="567">
        <v>0</v>
      </c>
      <c r="AB244" s="567">
        <v>0</v>
      </c>
      <c r="AC244" s="567">
        <v>0</v>
      </c>
      <c r="AD244" s="567">
        <v>0</v>
      </c>
      <c r="AE244" s="567">
        <v>0</v>
      </c>
      <c r="AF244" s="567">
        <v>0</v>
      </c>
      <c r="AG244" s="567">
        <v>0</v>
      </c>
      <c r="AH244" s="567">
        <v>0</v>
      </c>
      <c r="AI244" s="567">
        <v>432601</v>
      </c>
      <c r="AJ244" s="567">
        <v>152957</v>
      </c>
      <c r="AK244" s="567">
        <v>0</v>
      </c>
      <c r="AL244" s="567">
        <v>0</v>
      </c>
      <c r="AM244" s="567">
        <v>0</v>
      </c>
      <c r="AN244" s="567">
        <v>0</v>
      </c>
      <c r="AO244" s="567">
        <v>0</v>
      </c>
      <c r="AP244" s="567">
        <v>0</v>
      </c>
      <c r="AQ244" s="567">
        <v>0</v>
      </c>
      <c r="AR244" s="567">
        <v>0</v>
      </c>
      <c r="AS244" s="567">
        <v>2484.3499999999995</v>
      </c>
      <c r="AT244" s="567">
        <v>0</v>
      </c>
      <c r="AU244" s="567">
        <v>0</v>
      </c>
      <c r="AV244" s="567">
        <v>0</v>
      </c>
      <c r="AW244" s="567">
        <v>0</v>
      </c>
      <c r="AX244" s="567">
        <v>0</v>
      </c>
      <c r="AY244" s="567">
        <v>0</v>
      </c>
      <c r="AZ244" s="567">
        <v>0</v>
      </c>
      <c r="BA244" s="567">
        <v>0</v>
      </c>
      <c r="BB244" s="567">
        <v>0</v>
      </c>
      <c r="BC244" s="567">
        <v>1110052.6087499999</v>
      </c>
      <c r="BD244" s="567">
        <v>1110052.6087499999</v>
      </c>
      <c r="BE244" s="565"/>
      <c r="BF244" s="565">
        <v>585558</v>
      </c>
      <c r="BG244" s="565">
        <v>522010.25874999992</v>
      </c>
      <c r="BH244" s="565">
        <v>0</v>
      </c>
      <c r="BI244" s="565">
        <v>0</v>
      </c>
      <c r="BJ244" s="565">
        <v>1107568.25875</v>
      </c>
      <c r="BK244" s="567">
        <v>0</v>
      </c>
      <c r="BL244" s="567">
        <v>0</v>
      </c>
      <c r="BM244" s="567">
        <v>0</v>
      </c>
      <c r="BN244" s="567">
        <v>136307.76999999999</v>
      </c>
    </row>
    <row r="245" spans="1:66" s="402" customFormat="1" x14ac:dyDescent="0.3">
      <c r="A245" s="559"/>
      <c r="B245" s="568" t="s">
        <v>854</v>
      </c>
      <c r="C245" s="560">
        <v>169</v>
      </c>
      <c r="D245" s="560"/>
      <c r="E245" s="564"/>
      <c r="F245" s="567">
        <v>0</v>
      </c>
      <c r="G245" s="567">
        <v>0</v>
      </c>
      <c r="H245" s="567">
        <v>0</v>
      </c>
      <c r="I245" s="567">
        <v>1387017.8134160694</v>
      </c>
      <c r="J245" s="567">
        <v>1321879.7234617197</v>
      </c>
      <c r="K245" s="567">
        <v>1989837.5158726266</v>
      </c>
      <c r="L245" s="567">
        <v>1075726.9016666668</v>
      </c>
      <c r="M245" s="567">
        <v>0</v>
      </c>
      <c r="N245" s="567">
        <v>0</v>
      </c>
      <c r="O245" s="567">
        <v>0</v>
      </c>
      <c r="P245" s="567">
        <v>0</v>
      </c>
      <c r="Q245" s="567">
        <v>738499.18471158855</v>
      </c>
      <c r="R245" s="567">
        <v>590799.34776927088</v>
      </c>
      <c r="S245" s="567">
        <v>541515.74</v>
      </c>
      <c r="T245" s="567">
        <v>7386636.25</v>
      </c>
      <c r="U245" s="567">
        <v>7342167.916666666</v>
      </c>
      <c r="V245" s="567">
        <v>7253903.75</v>
      </c>
      <c r="W245" s="567">
        <v>7255248.75</v>
      </c>
      <c r="X245" s="567">
        <v>0</v>
      </c>
      <c r="Y245" s="567">
        <v>0</v>
      </c>
      <c r="Z245" s="567">
        <v>3095397</v>
      </c>
      <c r="AA245" s="567">
        <v>0</v>
      </c>
      <c r="AB245" s="567">
        <v>0</v>
      </c>
      <c r="AC245" s="567">
        <v>0</v>
      </c>
      <c r="AD245" s="567">
        <v>40162.5</v>
      </c>
      <c r="AE245" s="567">
        <v>376524.16000000003</v>
      </c>
      <c r="AF245" s="567">
        <v>0</v>
      </c>
      <c r="AG245" s="567">
        <v>0</v>
      </c>
      <c r="AH245" s="567">
        <v>6478464</v>
      </c>
      <c r="AI245" s="567">
        <v>420418</v>
      </c>
      <c r="AJ245" s="567">
        <v>148787</v>
      </c>
      <c r="AK245" s="567">
        <v>0</v>
      </c>
      <c r="AL245" s="567">
        <v>0</v>
      </c>
      <c r="AM245" s="567">
        <v>0</v>
      </c>
      <c r="AN245" s="567">
        <v>21678</v>
      </c>
      <c r="AO245" s="567">
        <v>0</v>
      </c>
      <c r="AP245" s="567">
        <v>87437.15</v>
      </c>
      <c r="AQ245" s="567">
        <v>0</v>
      </c>
      <c r="AR245" s="567">
        <v>76800</v>
      </c>
      <c r="AS245" s="567">
        <v>7249.33</v>
      </c>
      <c r="AT245" s="567">
        <v>1955020</v>
      </c>
      <c r="AU245" s="567">
        <v>0</v>
      </c>
      <c r="AV245" s="567">
        <v>705723.51624999999</v>
      </c>
      <c r="AW245" s="567">
        <v>0</v>
      </c>
      <c r="AX245" s="567">
        <v>1550999</v>
      </c>
      <c r="AY245" s="567">
        <v>685312.03125</v>
      </c>
      <c r="AZ245" s="567">
        <v>0</v>
      </c>
      <c r="BA245" s="567">
        <v>0</v>
      </c>
      <c r="BB245" s="567">
        <v>0</v>
      </c>
      <c r="BC245" s="567">
        <v>52533204.581064582</v>
      </c>
      <c r="BD245" s="567">
        <v>52533204.581064582</v>
      </c>
      <c r="BE245" s="565"/>
      <c r="BF245" s="565">
        <v>39402700.666666664</v>
      </c>
      <c r="BG245" s="565">
        <v>7645276.2268979428</v>
      </c>
      <c r="BH245" s="565">
        <v>416686.66000000003</v>
      </c>
      <c r="BI245" s="565">
        <v>0</v>
      </c>
      <c r="BJ245" s="565">
        <v>47464663.553564601</v>
      </c>
      <c r="BK245" s="567">
        <v>0</v>
      </c>
      <c r="BL245" s="567">
        <v>0</v>
      </c>
      <c r="BM245" s="567">
        <v>29237956.666666664</v>
      </c>
      <c r="BN245" s="567">
        <v>1870814.2724808597</v>
      </c>
    </row>
    <row r="246" spans="1:66" s="402" customFormat="1" x14ac:dyDescent="0.3">
      <c r="A246" s="559"/>
      <c r="B246" s="568" t="s">
        <v>855</v>
      </c>
      <c r="C246" s="560">
        <v>18</v>
      </c>
      <c r="D246" s="560"/>
      <c r="E246" s="564"/>
      <c r="F246" s="567">
        <v>0</v>
      </c>
      <c r="G246" s="567">
        <v>0</v>
      </c>
      <c r="H246" s="567">
        <v>0</v>
      </c>
      <c r="I246" s="567">
        <v>170372.9811852134</v>
      </c>
      <c r="J246" s="567">
        <v>159611.24081067531</v>
      </c>
      <c r="K246" s="567">
        <v>161177.47375</v>
      </c>
      <c r="L246" s="567">
        <v>138601.66666666669</v>
      </c>
      <c r="M246" s="567">
        <v>203547</v>
      </c>
      <c r="N246" s="567">
        <v>0</v>
      </c>
      <c r="O246" s="567">
        <v>0</v>
      </c>
      <c r="P246" s="567">
        <v>0</v>
      </c>
      <c r="Q246" s="567">
        <v>61628</v>
      </c>
      <c r="R246" s="567">
        <v>49302.30328224277</v>
      </c>
      <c r="S246" s="567">
        <v>74920.28</v>
      </c>
      <c r="T246" s="567">
        <v>1673881.25</v>
      </c>
      <c r="U246" s="567">
        <v>1742525.4166666667</v>
      </c>
      <c r="V246" s="567">
        <v>1592358.75</v>
      </c>
      <c r="W246" s="567">
        <v>1590448.75</v>
      </c>
      <c r="X246" s="567">
        <v>278289.26</v>
      </c>
      <c r="Y246" s="567">
        <v>0</v>
      </c>
      <c r="Z246" s="567">
        <v>0</v>
      </c>
      <c r="AA246" s="567">
        <v>0</v>
      </c>
      <c r="AB246" s="567">
        <v>0</v>
      </c>
      <c r="AC246" s="567">
        <v>0</v>
      </c>
      <c r="AD246" s="567">
        <v>288095</v>
      </c>
      <c r="AE246" s="567">
        <v>0</v>
      </c>
      <c r="AF246" s="567">
        <v>0</v>
      </c>
      <c r="AG246" s="567">
        <v>15180</v>
      </c>
      <c r="AH246" s="567">
        <v>0</v>
      </c>
      <c r="AI246" s="567">
        <v>304961</v>
      </c>
      <c r="AJ246" s="567">
        <v>107922</v>
      </c>
      <c r="AK246" s="567">
        <v>0</v>
      </c>
      <c r="AL246" s="567">
        <v>281133</v>
      </c>
      <c r="AM246" s="567">
        <v>0</v>
      </c>
      <c r="AN246" s="567">
        <v>0</v>
      </c>
      <c r="AO246" s="567">
        <v>0</v>
      </c>
      <c r="AP246" s="567">
        <v>41513</v>
      </c>
      <c r="AQ246" s="567">
        <v>0</v>
      </c>
      <c r="AR246" s="567">
        <v>13200</v>
      </c>
      <c r="AS246" s="567">
        <v>0</v>
      </c>
      <c r="AT246" s="567">
        <v>535751.33000000007</v>
      </c>
      <c r="AU246" s="567">
        <v>263800</v>
      </c>
      <c r="AV246" s="567">
        <v>305075.42249999999</v>
      </c>
      <c r="AW246" s="567">
        <v>0</v>
      </c>
      <c r="AX246" s="567">
        <v>481179.5</v>
      </c>
      <c r="AY246" s="567">
        <v>235140.9375</v>
      </c>
      <c r="AZ246" s="567">
        <v>154830</v>
      </c>
      <c r="BA246" s="567">
        <v>2225</v>
      </c>
      <c r="BB246" s="567">
        <v>0</v>
      </c>
      <c r="BC246" s="567">
        <v>10926670.562361464</v>
      </c>
      <c r="BD246" s="567">
        <v>10926670.562361464</v>
      </c>
      <c r="BE246" s="565"/>
      <c r="BF246" s="565">
        <v>7305566.4266666668</v>
      </c>
      <c r="BG246" s="565">
        <v>1019160.9456947981</v>
      </c>
      <c r="BH246" s="565">
        <v>288095</v>
      </c>
      <c r="BI246" s="565">
        <v>281133</v>
      </c>
      <c r="BJ246" s="565">
        <v>8893955.3723614644</v>
      </c>
      <c r="BK246" s="567">
        <v>0</v>
      </c>
      <c r="BL246" s="567">
        <v>0</v>
      </c>
      <c r="BM246" s="567">
        <v>6599214.166666667</v>
      </c>
      <c r="BN246" s="567">
        <v>185850.58328224276</v>
      </c>
    </row>
    <row r="247" spans="1:66" s="402" customFormat="1" x14ac:dyDescent="0.3">
      <c r="A247" s="559"/>
      <c r="B247" s="568" t="s">
        <v>856</v>
      </c>
      <c r="C247" s="560">
        <v>21</v>
      </c>
      <c r="D247" s="560"/>
      <c r="E247" s="564"/>
      <c r="F247" s="567">
        <v>0</v>
      </c>
      <c r="G247" s="567">
        <v>0</v>
      </c>
      <c r="H247" s="567">
        <v>0</v>
      </c>
      <c r="I247" s="567">
        <v>0</v>
      </c>
      <c r="J247" s="567">
        <v>0</v>
      </c>
      <c r="K247" s="567">
        <v>0</v>
      </c>
      <c r="L247" s="567">
        <v>85503</v>
      </c>
      <c r="M247" s="567">
        <v>0</v>
      </c>
      <c r="N247" s="567">
        <v>1863761</v>
      </c>
      <c r="O247" s="567">
        <v>0</v>
      </c>
      <c r="P247" s="567">
        <v>0</v>
      </c>
      <c r="Q247" s="567">
        <v>0</v>
      </c>
      <c r="R247" s="567">
        <v>0</v>
      </c>
      <c r="S247" s="567">
        <v>0</v>
      </c>
      <c r="T247" s="567">
        <v>474018.125</v>
      </c>
      <c r="U247" s="567">
        <v>508153.54166666669</v>
      </c>
      <c r="V247" s="567">
        <v>449035.625</v>
      </c>
      <c r="W247" s="567">
        <v>441570.625</v>
      </c>
      <c r="X247" s="567">
        <v>0</v>
      </c>
      <c r="Y247" s="567">
        <v>0</v>
      </c>
      <c r="Z247" s="567">
        <v>225349</v>
      </c>
      <c r="AA247" s="567">
        <v>0</v>
      </c>
      <c r="AB247" s="567">
        <v>21459.21</v>
      </c>
      <c r="AC247" s="567">
        <v>0</v>
      </c>
      <c r="AD247" s="567">
        <v>0</v>
      </c>
      <c r="AE247" s="567">
        <v>0</v>
      </c>
      <c r="AF247" s="567">
        <v>0</v>
      </c>
      <c r="AG247" s="567">
        <v>0</v>
      </c>
      <c r="AH247" s="567">
        <v>72476</v>
      </c>
      <c r="AI247" s="569">
        <v>1981980</v>
      </c>
      <c r="AJ247" s="567">
        <v>0</v>
      </c>
      <c r="AK247" s="567">
        <v>0</v>
      </c>
      <c r="AL247" s="567">
        <v>0</v>
      </c>
      <c r="AM247" s="567">
        <v>0</v>
      </c>
      <c r="AN247" s="567">
        <v>0</v>
      </c>
      <c r="AO247" s="567">
        <v>0</v>
      </c>
      <c r="AP247" s="567">
        <v>8903.5</v>
      </c>
      <c r="AQ247" s="567">
        <v>0</v>
      </c>
      <c r="AR247" s="567">
        <v>3600</v>
      </c>
      <c r="AS247" s="567">
        <v>0</v>
      </c>
      <c r="AT247" s="567">
        <v>338100</v>
      </c>
      <c r="AU247" s="567">
        <v>119750</v>
      </c>
      <c r="AV247" s="567">
        <v>198133.59375</v>
      </c>
      <c r="AW247" s="567">
        <v>0</v>
      </c>
      <c r="AX247" s="567">
        <v>217137.5</v>
      </c>
      <c r="AY247" s="567">
        <v>134941.40625</v>
      </c>
      <c r="AZ247" s="567">
        <v>42700</v>
      </c>
      <c r="BA247" s="567">
        <v>0</v>
      </c>
      <c r="BB247" s="567">
        <v>0</v>
      </c>
      <c r="BC247" s="567">
        <v>7186572.1266666669</v>
      </c>
      <c r="BD247" s="567">
        <v>7186572.1266666669</v>
      </c>
      <c r="BE247" s="565"/>
      <c r="BF247" s="565">
        <v>4152582.916666667</v>
      </c>
      <c r="BG247" s="565">
        <v>1949264</v>
      </c>
      <c r="BH247" s="565">
        <v>0</v>
      </c>
      <c r="BI247" s="565">
        <v>21459.21</v>
      </c>
      <c r="BJ247" s="565">
        <v>6123306.1266666669</v>
      </c>
      <c r="BK247" s="567">
        <v>0</v>
      </c>
      <c r="BL247" s="567">
        <v>0</v>
      </c>
      <c r="BM247" s="567">
        <v>1872777.9166666667</v>
      </c>
      <c r="BN247" s="567">
        <v>0</v>
      </c>
    </row>
    <row r="248" spans="1:66" s="406" customFormat="1" ht="13.2" x14ac:dyDescent="0.25">
      <c r="A248" s="570"/>
      <c r="B248" s="568" t="s">
        <v>581</v>
      </c>
      <c r="C248" s="568">
        <v>235</v>
      </c>
      <c r="D248" s="568"/>
      <c r="E248" s="571"/>
      <c r="F248" s="572">
        <v>0</v>
      </c>
      <c r="G248" s="572">
        <v>0</v>
      </c>
      <c r="H248" s="572">
        <v>0</v>
      </c>
      <c r="I248" s="572">
        <v>1719750.2408512828</v>
      </c>
      <c r="J248" s="572">
        <v>1555833.1342723949</v>
      </c>
      <c r="K248" s="572">
        <v>2265920.8621226265</v>
      </c>
      <c r="L248" s="572">
        <v>1333926.5683333336</v>
      </c>
      <c r="M248" s="572">
        <v>203547</v>
      </c>
      <c r="N248" s="572">
        <v>1863761</v>
      </c>
      <c r="O248" s="572">
        <v>0</v>
      </c>
      <c r="P248" s="572">
        <v>0</v>
      </c>
      <c r="Q248" s="572">
        <v>838173.85137825517</v>
      </c>
      <c r="R248" s="572">
        <v>670538.98438484699</v>
      </c>
      <c r="S248" s="572">
        <v>684259.79</v>
      </c>
      <c r="T248" s="572">
        <v>9534535.625</v>
      </c>
      <c r="U248" s="572">
        <v>9592846.8749999981</v>
      </c>
      <c r="V248" s="572">
        <v>9295298.125</v>
      </c>
      <c r="W248" s="572">
        <v>9287268.125</v>
      </c>
      <c r="X248" s="572">
        <v>278289.26</v>
      </c>
      <c r="Y248" s="572">
        <v>0</v>
      </c>
      <c r="Z248" s="572">
        <v>3320746</v>
      </c>
      <c r="AA248" s="572">
        <v>0</v>
      </c>
      <c r="AB248" s="572">
        <v>21459.21</v>
      </c>
      <c r="AC248" s="572">
        <v>0</v>
      </c>
      <c r="AD248" s="572">
        <v>328257.5</v>
      </c>
      <c r="AE248" s="572">
        <v>376524.16000000003</v>
      </c>
      <c r="AF248" s="572">
        <v>0</v>
      </c>
      <c r="AG248" s="572">
        <v>15180</v>
      </c>
      <c r="AH248" s="572">
        <v>6550940</v>
      </c>
      <c r="AI248" s="572">
        <v>3139960</v>
      </c>
      <c r="AJ248" s="572">
        <v>409666</v>
      </c>
      <c r="AK248" s="572">
        <v>0</v>
      </c>
      <c r="AL248" s="572">
        <v>281133</v>
      </c>
      <c r="AM248" s="572">
        <v>0</v>
      </c>
      <c r="AN248" s="572">
        <v>21678</v>
      </c>
      <c r="AO248" s="572">
        <v>0</v>
      </c>
      <c r="AP248" s="572">
        <v>137853.65</v>
      </c>
      <c r="AQ248" s="572">
        <v>0</v>
      </c>
      <c r="AR248" s="572">
        <v>93600</v>
      </c>
      <c r="AS248" s="572">
        <v>9733.68</v>
      </c>
      <c r="AT248" s="572">
        <v>2828871.33</v>
      </c>
      <c r="AU248" s="572">
        <v>383550</v>
      </c>
      <c r="AV248" s="572">
        <v>1208932.5325</v>
      </c>
      <c r="AW248" s="572">
        <v>0</v>
      </c>
      <c r="AX248" s="572">
        <v>2249316</v>
      </c>
      <c r="AY248" s="572">
        <v>1055394.375</v>
      </c>
      <c r="AZ248" s="572">
        <v>197530</v>
      </c>
      <c r="BA248" s="572">
        <v>2225</v>
      </c>
      <c r="BB248" s="572">
        <v>0</v>
      </c>
      <c r="BC248" s="572">
        <v>71756499.878842711</v>
      </c>
      <c r="BD248" s="572">
        <v>71756499.878842711</v>
      </c>
      <c r="BE248" s="573"/>
      <c r="BF248" s="573">
        <v>51446408.009999998</v>
      </c>
      <c r="BG248" s="573">
        <v>11135711.43134274</v>
      </c>
      <c r="BH248" s="573">
        <v>704781.66</v>
      </c>
      <c r="BI248" s="573">
        <v>302592.21000000002</v>
      </c>
      <c r="BJ248" s="573">
        <v>63589493.311342739</v>
      </c>
      <c r="BK248" s="572">
        <v>0</v>
      </c>
      <c r="BL248" s="572">
        <v>0</v>
      </c>
      <c r="BM248" s="572">
        <v>37709948.749999993</v>
      </c>
      <c r="BN248" s="572">
        <v>2192972.6257631024</v>
      </c>
    </row>
    <row r="249" spans="1:66" s="402" customFormat="1" x14ac:dyDescent="0.3">
      <c r="A249" s="559"/>
      <c r="B249" s="568" t="s">
        <v>107</v>
      </c>
      <c r="C249" s="560">
        <v>54</v>
      </c>
      <c r="D249" s="560"/>
      <c r="E249" s="564"/>
      <c r="F249" s="567">
        <v>0</v>
      </c>
      <c r="G249" s="567">
        <v>0</v>
      </c>
      <c r="H249" s="567">
        <v>0</v>
      </c>
      <c r="I249" s="567">
        <v>403378.98362942057</v>
      </c>
      <c r="J249" s="567">
        <v>370424.37448686402</v>
      </c>
      <c r="K249" s="567">
        <v>564710.98950000026</v>
      </c>
      <c r="L249" s="567">
        <v>471991.9</v>
      </c>
      <c r="M249" s="567">
        <v>185692</v>
      </c>
      <c r="N249" s="567">
        <v>1863761</v>
      </c>
      <c r="O249" s="567">
        <v>0</v>
      </c>
      <c r="P249" s="567">
        <v>0</v>
      </c>
      <c r="Q249" s="567">
        <v>241839.54222850417</v>
      </c>
      <c r="R249" s="567">
        <v>193471.53706504611</v>
      </c>
      <c r="S249" s="567">
        <v>387801.61</v>
      </c>
      <c r="T249" s="567">
        <v>2914748.75</v>
      </c>
      <c r="U249" s="567">
        <v>3010248.75</v>
      </c>
      <c r="V249" s="567">
        <v>2912307.5</v>
      </c>
      <c r="W249" s="567">
        <v>2907425</v>
      </c>
      <c r="X249" s="567">
        <v>278289.26</v>
      </c>
      <c r="Y249" s="567">
        <v>0</v>
      </c>
      <c r="Z249" s="567">
        <v>722420</v>
      </c>
      <c r="AA249" s="567">
        <v>0</v>
      </c>
      <c r="AB249" s="567">
        <v>11067.529999999999</v>
      </c>
      <c r="AC249" s="567">
        <v>0</v>
      </c>
      <c r="AD249" s="567">
        <v>27525</v>
      </c>
      <c r="AE249" s="567">
        <v>0</v>
      </c>
      <c r="AF249" s="567">
        <v>0</v>
      </c>
      <c r="AG249" s="567">
        <v>15180</v>
      </c>
      <c r="AH249" s="567">
        <v>1573062</v>
      </c>
      <c r="AI249" s="567">
        <v>1066531</v>
      </c>
      <c r="AJ249" s="567">
        <v>154378</v>
      </c>
      <c r="AK249" s="567">
        <v>0</v>
      </c>
      <c r="AL249" s="567">
        <v>281133</v>
      </c>
      <c r="AM249" s="567">
        <v>0</v>
      </c>
      <c r="AN249" s="567">
        <v>0</v>
      </c>
      <c r="AO249" s="567">
        <v>0</v>
      </c>
      <c r="AP249" s="567">
        <v>67581.649999999994</v>
      </c>
      <c r="AQ249" s="567">
        <v>0</v>
      </c>
      <c r="AR249" s="567">
        <v>25200</v>
      </c>
      <c r="AS249" s="567">
        <v>221.38</v>
      </c>
      <c r="AT249" s="567">
        <v>919850</v>
      </c>
      <c r="AU249" s="567">
        <v>222630</v>
      </c>
      <c r="AV249" s="567">
        <v>465550.34499999997</v>
      </c>
      <c r="AW249" s="567">
        <v>0</v>
      </c>
      <c r="AX249" s="567">
        <v>777900</v>
      </c>
      <c r="AY249" s="567">
        <v>374305.3125</v>
      </c>
      <c r="AZ249" s="567">
        <v>135680</v>
      </c>
      <c r="BA249" s="567">
        <v>2225</v>
      </c>
      <c r="BB249" s="567">
        <v>0</v>
      </c>
      <c r="BC249" s="567">
        <v>23548531.414409835</v>
      </c>
      <c r="BD249" s="567">
        <v>23548531.414409835</v>
      </c>
      <c r="BE249" s="565"/>
      <c r="BF249" s="565">
        <v>15554590.26</v>
      </c>
      <c r="BG249" s="565">
        <v>4683071.9369098358</v>
      </c>
      <c r="BH249" s="565">
        <v>27525</v>
      </c>
      <c r="BI249" s="565">
        <v>292200.53000000003</v>
      </c>
      <c r="BJ249" s="565">
        <v>20557387.726909839</v>
      </c>
      <c r="BK249" s="567">
        <v>0</v>
      </c>
      <c r="BL249" s="567">
        <v>0</v>
      </c>
      <c r="BM249" s="567">
        <v>11744730</v>
      </c>
      <c r="BN249" s="567">
        <v>823112.68929355033</v>
      </c>
    </row>
    <row r="250" spans="1:66" s="402" customFormat="1" x14ac:dyDescent="0.3">
      <c r="A250" s="559"/>
      <c r="B250" s="568" t="s">
        <v>857</v>
      </c>
      <c r="C250" s="560"/>
      <c r="D250" s="560"/>
      <c r="E250" s="564"/>
      <c r="F250" s="559"/>
      <c r="G250" s="559"/>
      <c r="H250" s="559"/>
      <c r="I250" s="565">
        <v>1442432.9590034522</v>
      </c>
      <c r="J250" s="565">
        <v>1694255.7562134389</v>
      </c>
      <c r="K250" s="565">
        <v>2166677.7429166664</v>
      </c>
      <c r="L250" s="565">
        <v>828453.52333333355</v>
      </c>
      <c r="M250" s="565">
        <v>0</v>
      </c>
      <c r="N250" s="565">
        <v>15208183</v>
      </c>
      <c r="O250" s="565">
        <v>0</v>
      </c>
      <c r="P250" s="565">
        <v>0</v>
      </c>
      <c r="Q250" s="565">
        <v>1094102.2754053182</v>
      </c>
      <c r="R250" s="565">
        <v>875281.82032425469</v>
      </c>
      <c r="S250" s="565">
        <v>0</v>
      </c>
      <c r="T250" s="565">
        <v>0</v>
      </c>
      <c r="U250" s="565">
        <v>0</v>
      </c>
      <c r="V250" s="565">
        <v>0</v>
      </c>
      <c r="W250" s="565">
        <v>0</v>
      </c>
      <c r="X250" s="565">
        <v>0</v>
      </c>
      <c r="Y250" s="565">
        <v>0</v>
      </c>
      <c r="Z250" s="565">
        <v>0</v>
      </c>
      <c r="AA250" s="565">
        <v>0</v>
      </c>
      <c r="AB250" s="565">
        <v>0</v>
      </c>
      <c r="AC250" s="565">
        <v>0</v>
      </c>
      <c r="AD250" s="565">
        <v>910700.56</v>
      </c>
      <c r="AE250" s="565">
        <v>752325.39</v>
      </c>
      <c r="AF250" s="565">
        <v>0</v>
      </c>
      <c r="AG250" s="565">
        <v>0</v>
      </c>
      <c r="AH250" s="565">
        <v>0</v>
      </c>
      <c r="AI250" s="565">
        <v>0</v>
      </c>
      <c r="AJ250" s="565">
        <v>0</v>
      </c>
      <c r="AK250" s="565">
        <v>0</v>
      </c>
      <c r="AL250" s="565">
        <v>0</v>
      </c>
      <c r="AM250" s="565">
        <v>0</v>
      </c>
      <c r="AN250" s="565">
        <v>0</v>
      </c>
      <c r="AO250" s="565">
        <v>0</v>
      </c>
      <c r="AP250" s="565">
        <v>0</v>
      </c>
      <c r="AQ250" s="565">
        <v>0</v>
      </c>
      <c r="AR250" s="565">
        <v>0</v>
      </c>
      <c r="AS250" s="565">
        <v>0</v>
      </c>
      <c r="AT250" s="565">
        <v>0</v>
      </c>
      <c r="AU250" s="565">
        <v>0</v>
      </c>
      <c r="AV250" s="565">
        <v>0</v>
      </c>
      <c r="AW250" s="565">
        <v>0</v>
      </c>
      <c r="AX250" s="565">
        <v>0</v>
      </c>
      <c r="AY250" s="565">
        <v>0</v>
      </c>
      <c r="AZ250" s="565">
        <v>0</v>
      </c>
      <c r="BA250" s="565">
        <v>0</v>
      </c>
      <c r="BB250" s="565">
        <v>0</v>
      </c>
      <c r="BC250" s="565">
        <v>31708802.23430163</v>
      </c>
      <c r="BD250" s="565">
        <v>0</v>
      </c>
      <c r="BE250" s="559"/>
      <c r="BF250" s="565">
        <v>0</v>
      </c>
      <c r="BG250" s="565">
        <v>23309387.07719646</v>
      </c>
      <c r="BH250" s="565">
        <v>1663025.9500000002</v>
      </c>
      <c r="BI250" s="565">
        <v>0</v>
      </c>
      <c r="BJ250" s="565">
        <v>24972413.027196459</v>
      </c>
      <c r="BK250" s="559"/>
      <c r="BL250" s="559"/>
      <c r="BM250" s="559"/>
      <c r="BN250" s="559"/>
    </row>
    <row r="251" spans="1:66" s="402" customFormat="1" x14ac:dyDescent="0.3">
      <c r="A251" s="559"/>
      <c r="B251" s="568" t="s">
        <v>581</v>
      </c>
      <c r="C251" s="560"/>
      <c r="D251" s="560"/>
      <c r="E251" s="564"/>
      <c r="F251" s="559"/>
      <c r="G251" s="559"/>
      <c r="H251" s="559"/>
      <c r="I251" s="565">
        <v>3162183.1998547353</v>
      </c>
      <c r="J251" s="565">
        <v>3250088.8904858339</v>
      </c>
      <c r="K251" s="565">
        <v>4432598.6050392929</v>
      </c>
      <c r="L251" s="565">
        <v>2162380.0916666673</v>
      </c>
      <c r="M251" s="565">
        <v>203547</v>
      </c>
      <c r="N251" s="565">
        <v>17071944</v>
      </c>
      <c r="O251" s="565">
        <v>0</v>
      </c>
      <c r="P251" s="565">
        <v>0</v>
      </c>
      <c r="Q251" s="565">
        <v>1932276.1267835735</v>
      </c>
      <c r="R251" s="565">
        <v>1545820.8047091016</v>
      </c>
      <c r="S251" s="565">
        <v>684259.79</v>
      </c>
      <c r="T251" s="565">
        <v>9534535.625</v>
      </c>
      <c r="U251" s="565">
        <v>9592846.8749999981</v>
      </c>
      <c r="V251" s="565">
        <v>9295298.125</v>
      </c>
      <c r="W251" s="565">
        <v>9287268.125</v>
      </c>
      <c r="X251" s="565">
        <v>278289.26</v>
      </c>
      <c r="Y251" s="565">
        <v>0</v>
      </c>
      <c r="Z251" s="565">
        <v>3320746</v>
      </c>
      <c r="AA251" s="565">
        <v>0</v>
      </c>
      <c r="AB251" s="565">
        <v>21459.21</v>
      </c>
      <c r="AC251" s="565">
        <v>0</v>
      </c>
      <c r="AD251" s="565">
        <v>1238958.06</v>
      </c>
      <c r="AE251" s="565">
        <v>1128849.55</v>
      </c>
      <c r="AF251" s="565">
        <v>0</v>
      </c>
      <c r="AG251" s="565">
        <v>15180</v>
      </c>
      <c r="AH251" s="565">
        <v>6550940</v>
      </c>
      <c r="AI251" s="565">
        <v>3139960</v>
      </c>
      <c r="AJ251" s="565">
        <v>409666</v>
      </c>
      <c r="AK251" s="565">
        <v>0</v>
      </c>
      <c r="AL251" s="565">
        <v>281133</v>
      </c>
      <c r="AM251" s="565">
        <v>0</v>
      </c>
      <c r="AN251" s="565">
        <v>21678</v>
      </c>
      <c r="AO251" s="565">
        <v>0</v>
      </c>
      <c r="AP251" s="565">
        <v>137853.65</v>
      </c>
      <c r="AQ251" s="565">
        <v>0</v>
      </c>
      <c r="AR251" s="565">
        <v>93600</v>
      </c>
      <c r="AS251" s="565">
        <v>9733.68</v>
      </c>
      <c r="AT251" s="565">
        <v>2828871.33</v>
      </c>
      <c r="AU251" s="565">
        <v>383550</v>
      </c>
      <c r="AV251" s="565">
        <v>1208932.5325</v>
      </c>
      <c r="AW251" s="565">
        <v>0</v>
      </c>
      <c r="AX251" s="565">
        <v>2249316</v>
      </c>
      <c r="AY251" s="565">
        <v>1055394.375</v>
      </c>
      <c r="AZ251" s="565">
        <v>197530</v>
      </c>
      <c r="BA251" s="565">
        <v>2225</v>
      </c>
      <c r="BB251" s="565">
        <v>0</v>
      </c>
      <c r="BC251" s="565">
        <v>103465302.11314434</v>
      </c>
      <c r="BD251" s="565">
        <v>71756499.878842711</v>
      </c>
      <c r="BE251" s="559"/>
      <c r="BF251" s="565">
        <v>51446408.009999998</v>
      </c>
      <c r="BG251" s="565">
        <v>34445098.5085392</v>
      </c>
      <c r="BH251" s="565">
        <v>2367807.6100000003</v>
      </c>
      <c r="BI251" s="565">
        <v>302592.21000000002</v>
      </c>
      <c r="BJ251" s="565">
        <v>88561906.338539183</v>
      </c>
      <c r="BK251" s="559"/>
      <c r="BL251" s="559"/>
      <c r="BM251" s="559"/>
      <c r="BN251" s="559"/>
    </row>
    <row r="253" spans="1:66" x14ac:dyDescent="0.3">
      <c r="A253" s="410"/>
      <c r="B253" s="411" t="s">
        <v>1478</v>
      </c>
      <c r="C253" s="412"/>
      <c r="S253" s="413" t="s">
        <v>1479</v>
      </c>
      <c r="AG253" s="414"/>
      <c r="AH253" s="414"/>
      <c r="AI253" s="414"/>
      <c r="AJ253" s="414"/>
      <c r="AL253" s="415"/>
      <c r="AM253" s="407" t="s">
        <v>1480</v>
      </c>
      <c r="AT253" s="416">
        <v>2794110</v>
      </c>
      <c r="AX253" s="407">
        <v>2249316</v>
      </c>
    </row>
    <row r="254" spans="1:66" x14ac:dyDescent="0.3">
      <c r="A254" s="417"/>
      <c r="B254" s="417" t="s">
        <v>1481</v>
      </c>
      <c r="AT254" s="418">
        <v>34761.330000000075</v>
      </c>
      <c r="AX254" s="418">
        <v>0</v>
      </c>
    </row>
    <row r="255" spans="1:66" x14ac:dyDescent="0.3">
      <c r="B255" s="399" t="s">
        <v>1482</v>
      </c>
      <c r="AT255" s="418"/>
    </row>
    <row r="256" spans="1:66" x14ac:dyDescent="0.3">
      <c r="AB256" s="407" t="s">
        <v>1483</v>
      </c>
    </row>
    <row r="257" spans="1:66" x14ac:dyDescent="0.3">
      <c r="S257" s="413" t="s">
        <v>1479</v>
      </c>
      <c r="AG257" s="414"/>
      <c r="AH257" s="414"/>
      <c r="AI257" s="414"/>
      <c r="AJ257" s="414"/>
      <c r="AT257" s="416"/>
    </row>
    <row r="258" spans="1:66" x14ac:dyDescent="0.3">
      <c r="S258" s="413"/>
      <c r="AG258" s="414"/>
      <c r="AH258" s="414"/>
      <c r="AI258" s="414"/>
      <c r="AJ258" s="414"/>
      <c r="AT258" s="416"/>
    </row>
    <row r="259" spans="1:66" x14ac:dyDescent="0.3">
      <c r="S259" s="413"/>
      <c r="AG259" s="414"/>
      <c r="AH259" s="414"/>
      <c r="AI259" s="414"/>
      <c r="AJ259" s="414"/>
      <c r="AT259" s="416"/>
    </row>
    <row r="260" spans="1:66" x14ac:dyDescent="0.3">
      <c r="S260" s="413"/>
      <c r="AG260" s="414"/>
      <c r="AH260" s="414"/>
      <c r="AI260" s="414"/>
      <c r="AJ260" s="414"/>
      <c r="AT260" s="416"/>
    </row>
    <row r="261" spans="1:66" x14ac:dyDescent="0.3">
      <c r="S261" s="413"/>
      <c r="AG261" s="414"/>
      <c r="AH261" s="414"/>
      <c r="AI261" s="414"/>
      <c r="AJ261" s="414"/>
      <c r="AT261" s="416"/>
    </row>
    <row r="262" spans="1:66" x14ac:dyDescent="0.3">
      <c r="S262" s="413"/>
      <c r="AG262" s="414"/>
      <c r="AH262" s="414"/>
      <c r="AI262" s="414"/>
      <c r="AJ262" s="414"/>
      <c r="AT262" s="416"/>
    </row>
    <row r="263" spans="1:66" x14ac:dyDescent="0.3">
      <c r="A263" s="399" t="s">
        <v>1484</v>
      </c>
    </row>
    <row r="264" spans="1:66" x14ac:dyDescent="0.3">
      <c r="B264" s="400" t="s">
        <v>1485</v>
      </c>
    </row>
    <row r="265" spans="1:66" x14ac:dyDescent="0.3">
      <c r="A265" s="399">
        <v>244</v>
      </c>
      <c r="B265" s="400" t="s">
        <v>853</v>
      </c>
      <c r="C265" s="400">
        <v>27</v>
      </c>
      <c r="F265" s="399">
        <v>0</v>
      </c>
      <c r="G265" s="399">
        <v>0</v>
      </c>
      <c r="H265" s="399">
        <v>0</v>
      </c>
      <c r="I265" s="399">
        <v>162359.44624999998</v>
      </c>
      <c r="J265" s="399">
        <v>74342.17</v>
      </c>
      <c r="K265" s="399">
        <v>114905.8725</v>
      </c>
      <c r="L265" s="407">
        <v>34095</v>
      </c>
      <c r="M265" s="407">
        <v>203547</v>
      </c>
      <c r="N265" s="407">
        <v>0</v>
      </c>
      <c r="O265" s="407">
        <v>0</v>
      </c>
      <c r="P265" s="407">
        <v>0</v>
      </c>
      <c r="Q265" s="407">
        <v>38046.666666666672</v>
      </c>
      <c r="R265" s="407">
        <v>30437.333333333336</v>
      </c>
      <c r="S265" s="408">
        <v>67823.76999999999</v>
      </c>
      <c r="T265" s="407">
        <v>0</v>
      </c>
      <c r="U265" s="407">
        <v>0</v>
      </c>
      <c r="V265" s="407">
        <v>0</v>
      </c>
      <c r="W265" s="407">
        <v>0</v>
      </c>
      <c r="X265" s="409">
        <v>0</v>
      </c>
      <c r="Y265" s="407">
        <v>0</v>
      </c>
      <c r="Z265" s="407">
        <v>0</v>
      </c>
      <c r="AA265" s="407">
        <v>0</v>
      </c>
      <c r="AB265" s="407">
        <v>0</v>
      </c>
      <c r="AC265" s="407">
        <v>0</v>
      </c>
      <c r="AD265" s="407">
        <v>0</v>
      </c>
      <c r="AE265" s="407">
        <v>0</v>
      </c>
      <c r="AF265" s="407">
        <v>0</v>
      </c>
      <c r="AG265" s="407">
        <v>0</v>
      </c>
      <c r="AH265" s="407">
        <v>0</v>
      </c>
      <c r="AI265" s="407">
        <v>432601</v>
      </c>
      <c r="AJ265" s="407">
        <v>152957</v>
      </c>
      <c r="AK265" s="407">
        <v>0</v>
      </c>
      <c r="AL265" s="407">
        <v>0</v>
      </c>
      <c r="AM265" s="407">
        <v>0</v>
      </c>
      <c r="AN265" s="407">
        <v>0</v>
      </c>
      <c r="AO265" s="407">
        <v>0</v>
      </c>
      <c r="AP265" s="407">
        <v>0</v>
      </c>
      <c r="AQ265" s="407">
        <v>0</v>
      </c>
      <c r="AR265" s="407">
        <v>0</v>
      </c>
      <c r="AS265" s="407">
        <v>2484.3499999999995</v>
      </c>
      <c r="AT265" s="409">
        <v>0</v>
      </c>
      <c r="AU265" s="407">
        <v>0</v>
      </c>
      <c r="AV265" s="407">
        <v>0</v>
      </c>
      <c r="AW265" s="407">
        <v>0</v>
      </c>
      <c r="AX265" s="407">
        <v>0</v>
      </c>
      <c r="AY265" s="407">
        <v>0</v>
      </c>
      <c r="AZ265" s="407">
        <v>0</v>
      </c>
      <c r="BA265" s="407">
        <v>0</v>
      </c>
      <c r="BB265" s="407">
        <v>0</v>
      </c>
      <c r="BC265" s="399">
        <v>1110052.6087499999</v>
      </c>
      <c r="BD265" s="399">
        <v>1110052.6087499999</v>
      </c>
      <c r="BF265" s="402">
        <v>585558</v>
      </c>
      <c r="BG265" s="402">
        <v>522010.25875000004</v>
      </c>
      <c r="BH265" s="402">
        <v>0</v>
      </c>
      <c r="BI265" s="402">
        <v>0</v>
      </c>
      <c r="BJ265" s="402">
        <v>1107568.25875</v>
      </c>
      <c r="BK265" s="402">
        <v>-2484.3499999999985</v>
      </c>
      <c r="BL265" s="402">
        <v>0</v>
      </c>
      <c r="BM265" s="402">
        <v>0</v>
      </c>
      <c r="BN265" s="402">
        <v>136307.76999999999</v>
      </c>
    </row>
    <row r="266" spans="1:66" s="407" customFormat="1" x14ac:dyDescent="0.3">
      <c r="A266" s="399">
        <v>245</v>
      </c>
      <c r="B266" s="400" t="s">
        <v>854</v>
      </c>
      <c r="C266" s="400">
        <v>169</v>
      </c>
      <c r="D266" s="400"/>
      <c r="E266" s="401"/>
      <c r="F266" s="399">
        <v>0</v>
      </c>
      <c r="G266" s="399">
        <v>0</v>
      </c>
      <c r="H266" s="399">
        <v>0</v>
      </c>
      <c r="I266" s="399">
        <v>1387017.8134160694</v>
      </c>
      <c r="J266" s="399">
        <v>1321879.7234617197</v>
      </c>
      <c r="K266" s="399">
        <v>1989837.5158726266</v>
      </c>
      <c r="L266" s="407">
        <v>1075726.9016666668</v>
      </c>
      <c r="M266" s="407">
        <v>0</v>
      </c>
      <c r="N266" s="407">
        <v>0</v>
      </c>
      <c r="O266" s="407">
        <v>0</v>
      </c>
      <c r="P266" s="407">
        <v>0</v>
      </c>
      <c r="Q266" s="407">
        <v>738499.18471158855</v>
      </c>
      <c r="R266" s="407">
        <v>590799.34776927088</v>
      </c>
      <c r="S266" s="408">
        <v>541515.74</v>
      </c>
      <c r="T266" s="407">
        <v>7386636.25</v>
      </c>
      <c r="U266" s="407">
        <v>7342167.916666666</v>
      </c>
      <c r="V266" s="407">
        <v>7253903.75</v>
      </c>
      <c r="W266" s="407">
        <v>0</v>
      </c>
      <c r="X266" s="409">
        <v>0</v>
      </c>
      <c r="Y266" s="407">
        <v>0</v>
      </c>
      <c r="Z266" s="407">
        <v>3095397</v>
      </c>
      <c r="AA266" s="407">
        <v>0</v>
      </c>
      <c r="AB266" s="407">
        <v>0</v>
      </c>
      <c r="AC266" s="407">
        <v>0</v>
      </c>
      <c r="AD266" s="407">
        <v>40162.5</v>
      </c>
      <c r="AE266" s="407">
        <v>376524.16000000003</v>
      </c>
      <c r="AF266" s="407">
        <v>0</v>
      </c>
      <c r="AG266" s="407">
        <v>0</v>
      </c>
      <c r="AH266" s="407">
        <v>6478464</v>
      </c>
      <c r="AI266" s="407">
        <v>420418</v>
      </c>
      <c r="AJ266" s="407">
        <v>148787</v>
      </c>
      <c r="AK266" s="407">
        <v>0</v>
      </c>
      <c r="AL266" s="405">
        <v>0</v>
      </c>
      <c r="AM266" s="407">
        <v>0</v>
      </c>
      <c r="AN266" s="407">
        <v>21678</v>
      </c>
      <c r="AO266" s="407">
        <v>0</v>
      </c>
      <c r="AP266" s="407">
        <v>87437.15</v>
      </c>
      <c r="AQ266" s="407">
        <v>0</v>
      </c>
      <c r="AR266" s="407">
        <v>76800</v>
      </c>
      <c r="AS266" s="407">
        <v>7249.33</v>
      </c>
      <c r="AT266" s="409">
        <v>435130</v>
      </c>
      <c r="AU266" s="407">
        <v>0</v>
      </c>
      <c r="AV266" s="407">
        <v>705723.51624999999</v>
      </c>
      <c r="AW266" s="407">
        <v>0</v>
      </c>
      <c r="AX266" s="407">
        <v>312380.5</v>
      </c>
      <c r="AY266" s="407">
        <v>685312.03125</v>
      </c>
      <c r="AZ266" s="407">
        <v>0</v>
      </c>
      <c r="BA266" s="407">
        <v>0</v>
      </c>
      <c r="BB266" s="407">
        <v>0</v>
      </c>
      <c r="BC266" s="407">
        <v>49774696.081064574</v>
      </c>
      <c r="BD266" s="407">
        <v>49774696.081064574</v>
      </c>
      <c r="BF266" s="402">
        <v>39402700.666666664</v>
      </c>
      <c r="BG266" s="402">
        <v>7645276.2268979419</v>
      </c>
      <c r="BH266" s="402">
        <v>416686.66</v>
      </c>
      <c r="BI266" s="402">
        <v>434651.76500000001</v>
      </c>
      <c r="BJ266" s="402">
        <v>47899315.318564571</v>
      </c>
      <c r="BK266" s="402">
        <v>-1875380.7625</v>
      </c>
      <c r="BL266" s="402">
        <v>0</v>
      </c>
      <c r="BM266" s="402">
        <v>29237956.666666664</v>
      </c>
      <c r="BN266" s="402">
        <v>1870814.2724808597</v>
      </c>
    </row>
    <row r="267" spans="1:66" s="407" customFormat="1" x14ac:dyDescent="0.3">
      <c r="A267" s="399">
        <v>246</v>
      </c>
      <c r="B267" s="400" t="s">
        <v>855</v>
      </c>
      <c r="C267" s="400">
        <v>18</v>
      </c>
      <c r="D267" s="400"/>
      <c r="E267" s="401"/>
      <c r="F267" s="399">
        <v>0</v>
      </c>
      <c r="G267" s="399">
        <v>0</v>
      </c>
      <c r="H267" s="399">
        <v>0</v>
      </c>
      <c r="I267" s="399">
        <v>170372.9811852134</v>
      </c>
      <c r="J267" s="399">
        <v>159611.24081067531</v>
      </c>
      <c r="K267" s="399">
        <v>161177.47375</v>
      </c>
      <c r="L267" s="407">
        <v>138601.66666666669</v>
      </c>
      <c r="M267" s="407">
        <v>0</v>
      </c>
      <c r="N267" s="407">
        <v>0</v>
      </c>
      <c r="O267" s="407">
        <v>0</v>
      </c>
      <c r="P267" s="407">
        <v>0</v>
      </c>
      <c r="Q267" s="407">
        <v>61628</v>
      </c>
      <c r="R267" s="407">
        <v>49302.30328224277</v>
      </c>
      <c r="S267" s="408">
        <v>74920.28</v>
      </c>
      <c r="T267" s="407">
        <v>1673881.25</v>
      </c>
      <c r="U267" s="407">
        <v>1742525.4166666667</v>
      </c>
      <c r="V267" s="407">
        <v>1592358.75</v>
      </c>
      <c r="W267" s="407">
        <v>0</v>
      </c>
      <c r="X267" s="409">
        <v>85110.11</v>
      </c>
      <c r="Y267" s="407">
        <v>0</v>
      </c>
      <c r="Z267" s="407">
        <v>0</v>
      </c>
      <c r="AA267" s="407">
        <v>0</v>
      </c>
      <c r="AB267" s="407">
        <v>0</v>
      </c>
      <c r="AC267" s="407">
        <v>0</v>
      </c>
      <c r="AD267" s="407">
        <v>288095</v>
      </c>
      <c r="AE267" s="407">
        <v>0</v>
      </c>
      <c r="AF267" s="407">
        <v>0</v>
      </c>
      <c r="AG267" s="407">
        <v>0</v>
      </c>
      <c r="AH267" s="407">
        <v>0</v>
      </c>
      <c r="AI267" s="407">
        <v>304961</v>
      </c>
      <c r="AJ267" s="407">
        <v>107922</v>
      </c>
      <c r="AK267" s="407">
        <v>0</v>
      </c>
      <c r="AL267" s="405">
        <v>281133</v>
      </c>
      <c r="AM267" s="407">
        <v>0</v>
      </c>
      <c r="AN267" s="407">
        <v>0</v>
      </c>
      <c r="AO267" s="407">
        <v>0</v>
      </c>
      <c r="AP267" s="407">
        <v>41513</v>
      </c>
      <c r="AQ267" s="407">
        <v>0</v>
      </c>
      <c r="AR267" s="407">
        <v>13200</v>
      </c>
      <c r="AS267" s="407">
        <v>0</v>
      </c>
      <c r="AT267" s="409">
        <v>513091.33</v>
      </c>
      <c r="AU267" s="407">
        <v>263800</v>
      </c>
      <c r="AV267" s="407">
        <v>305075.42249999999</v>
      </c>
      <c r="AW267" s="407">
        <v>0</v>
      </c>
      <c r="AX267" s="407">
        <v>398964.5</v>
      </c>
      <c r="AY267" s="407">
        <v>235140.9375</v>
      </c>
      <c r="AZ267" s="407">
        <v>154830</v>
      </c>
      <c r="BA267" s="407">
        <v>2225</v>
      </c>
      <c r="BB267" s="407">
        <v>0</v>
      </c>
      <c r="BC267" s="407">
        <v>10821795.562361464</v>
      </c>
      <c r="BD267" s="407">
        <v>10821795.562361464</v>
      </c>
      <c r="BF267" s="402">
        <v>7305566.4266666668</v>
      </c>
      <c r="BG267" s="402">
        <v>1019160.945694798</v>
      </c>
      <c r="BH267" s="402">
        <v>288095</v>
      </c>
      <c r="BI267" s="402">
        <v>1417812.7524999999</v>
      </c>
      <c r="BJ267" s="402">
        <v>10030635.124861466</v>
      </c>
      <c r="BK267" s="402">
        <v>-791160.43750000023</v>
      </c>
      <c r="BL267" s="402">
        <v>0</v>
      </c>
      <c r="BM267" s="402">
        <v>6599214.166666667</v>
      </c>
      <c r="BN267" s="402">
        <v>185850.58328224276</v>
      </c>
    </row>
    <row r="268" spans="1:66" s="407" customFormat="1" x14ac:dyDescent="0.3">
      <c r="A268" s="399">
        <v>247</v>
      </c>
      <c r="B268" s="400" t="s">
        <v>856</v>
      </c>
      <c r="C268" s="400">
        <v>21</v>
      </c>
      <c r="D268" s="400"/>
      <c r="E268" s="401"/>
      <c r="F268" s="399">
        <v>0</v>
      </c>
      <c r="G268" s="399">
        <v>0</v>
      </c>
      <c r="H268" s="399">
        <v>0</v>
      </c>
      <c r="I268" s="399">
        <v>0</v>
      </c>
      <c r="J268" s="399">
        <v>0</v>
      </c>
      <c r="K268" s="399">
        <v>0</v>
      </c>
      <c r="L268" s="407">
        <v>76000</v>
      </c>
      <c r="M268" s="407">
        <v>0</v>
      </c>
      <c r="N268" s="407">
        <v>0</v>
      </c>
      <c r="O268" s="407">
        <v>0</v>
      </c>
      <c r="P268" s="407">
        <v>0</v>
      </c>
      <c r="Q268" s="407">
        <v>0</v>
      </c>
      <c r="R268" s="407">
        <v>0</v>
      </c>
      <c r="S268" s="408">
        <v>0</v>
      </c>
      <c r="T268" s="407">
        <v>474018.125</v>
      </c>
      <c r="U268" s="407">
        <v>508153.54166666669</v>
      </c>
      <c r="V268" s="407">
        <v>449035.625</v>
      </c>
      <c r="W268" s="407">
        <v>0</v>
      </c>
      <c r="X268" s="409">
        <v>0</v>
      </c>
      <c r="Y268" s="407">
        <v>0</v>
      </c>
      <c r="Z268" s="407">
        <v>225349</v>
      </c>
      <c r="AA268" s="407">
        <v>0</v>
      </c>
      <c r="AB268" s="407">
        <v>21459.21</v>
      </c>
      <c r="AC268" s="407">
        <v>0</v>
      </c>
      <c r="AD268" s="407">
        <v>0</v>
      </c>
      <c r="AE268" s="407">
        <v>0</v>
      </c>
      <c r="AF268" s="407">
        <v>0</v>
      </c>
      <c r="AG268" s="407">
        <v>0</v>
      </c>
      <c r="AH268" s="407">
        <v>72476</v>
      </c>
      <c r="AI268" s="407">
        <v>114180</v>
      </c>
      <c r="AJ268" s="407">
        <v>0</v>
      </c>
      <c r="AK268" s="407">
        <v>0</v>
      </c>
      <c r="AL268" s="405">
        <v>0</v>
      </c>
      <c r="AM268" s="407">
        <v>9461.4</v>
      </c>
      <c r="AN268" s="407">
        <v>0</v>
      </c>
      <c r="AO268" s="407">
        <v>0</v>
      </c>
      <c r="AP268" s="407">
        <v>8903.5</v>
      </c>
      <c r="AQ268" s="407">
        <v>0</v>
      </c>
      <c r="AR268" s="407">
        <v>3600</v>
      </c>
      <c r="AS268" s="407">
        <v>0</v>
      </c>
      <c r="AT268" s="409">
        <v>94800</v>
      </c>
      <c r="AU268" s="407">
        <v>119750</v>
      </c>
      <c r="AV268" s="407">
        <v>198133.59375</v>
      </c>
      <c r="AW268" s="407">
        <v>0</v>
      </c>
      <c r="AX268" s="407">
        <v>66555</v>
      </c>
      <c r="AY268" s="407">
        <v>134941.40625</v>
      </c>
      <c r="AZ268" s="407">
        <v>42700</v>
      </c>
      <c r="BA268" s="407">
        <v>0</v>
      </c>
      <c r="BB268" s="407">
        <v>0</v>
      </c>
      <c r="BC268" s="407">
        <v>4924848.0266666673</v>
      </c>
      <c r="BD268" s="407">
        <v>4924848.0266666673</v>
      </c>
      <c r="BF268" s="402">
        <v>2284782.916666667</v>
      </c>
      <c r="BG268" s="402">
        <v>1939761</v>
      </c>
      <c r="BH268" s="402">
        <v>0</v>
      </c>
      <c r="BI268" s="402">
        <v>446646.30375000008</v>
      </c>
      <c r="BJ268" s="402">
        <v>4671190.220416666</v>
      </c>
      <c r="BK268" s="402">
        <v>-253657.80624999997</v>
      </c>
      <c r="BL268" s="402">
        <v>0</v>
      </c>
      <c r="BM268" s="402">
        <v>1872777.9166666667</v>
      </c>
      <c r="BN268" s="402">
        <v>0</v>
      </c>
    </row>
    <row r="269" spans="1:66" s="407" customFormat="1" x14ac:dyDescent="0.3">
      <c r="A269" s="399">
        <v>248</v>
      </c>
      <c r="B269" s="400" t="s">
        <v>1486</v>
      </c>
      <c r="C269" s="400">
        <v>235</v>
      </c>
      <c r="D269" s="400"/>
      <c r="E269" s="401"/>
      <c r="F269" s="399">
        <v>0</v>
      </c>
      <c r="G269" s="399">
        <v>0</v>
      </c>
      <c r="H269" s="399">
        <v>0</v>
      </c>
      <c r="I269" s="399">
        <v>1719750.2408512828</v>
      </c>
      <c r="J269" s="399">
        <v>1555833.1342723949</v>
      </c>
      <c r="K269" s="399">
        <v>2265920.8621226265</v>
      </c>
      <c r="L269" s="407">
        <v>1324423.5683333336</v>
      </c>
      <c r="M269" s="407">
        <v>0</v>
      </c>
      <c r="N269" s="407">
        <v>0</v>
      </c>
      <c r="O269" s="407">
        <v>0</v>
      </c>
      <c r="P269" s="407">
        <v>0</v>
      </c>
      <c r="Q269" s="407">
        <v>838173.85137825517</v>
      </c>
      <c r="R269" s="407">
        <v>670538.98438484699</v>
      </c>
      <c r="S269" s="408">
        <v>684259.79</v>
      </c>
      <c r="T269" s="407">
        <v>9534535.625</v>
      </c>
      <c r="U269" s="407">
        <v>9592846.8749999981</v>
      </c>
      <c r="V269" s="407">
        <v>9295298.125</v>
      </c>
      <c r="W269" s="407">
        <v>0</v>
      </c>
      <c r="X269" s="409">
        <v>85110.11</v>
      </c>
      <c r="Y269" s="407">
        <v>0</v>
      </c>
      <c r="Z269" s="407">
        <v>3320746</v>
      </c>
      <c r="AA269" s="407">
        <v>0</v>
      </c>
      <c r="AB269" s="407">
        <v>21459.21</v>
      </c>
      <c r="AC269" s="407">
        <v>0</v>
      </c>
      <c r="AD269" s="407">
        <v>328257.5</v>
      </c>
      <c r="AE269" s="407">
        <v>376524.16000000003</v>
      </c>
      <c r="AF269" s="407">
        <v>0</v>
      </c>
      <c r="AG269" s="407">
        <v>0</v>
      </c>
      <c r="AH269" s="407">
        <v>6550940</v>
      </c>
      <c r="AI269" s="407">
        <v>1272160</v>
      </c>
      <c r="AJ269" s="407">
        <v>409666</v>
      </c>
      <c r="AK269" s="407">
        <v>0</v>
      </c>
      <c r="AL269" s="405">
        <v>281133</v>
      </c>
      <c r="AM269" s="407">
        <v>9461.4</v>
      </c>
      <c r="AN269" s="407">
        <v>21678</v>
      </c>
      <c r="AO269" s="407">
        <v>0</v>
      </c>
      <c r="AP269" s="407">
        <v>137853.65</v>
      </c>
      <c r="AQ269" s="407">
        <v>0</v>
      </c>
      <c r="AR269" s="407">
        <v>93600</v>
      </c>
      <c r="AS269" s="407">
        <v>9733.68</v>
      </c>
      <c r="AT269" s="409">
        <v>1043021.3300000001</v>
      </c>
      <c r="AU269" s="407">
        <v>383550</v>
      </c>
      <c r="AV269" s="407">
        <v>1208932.5325</v>
      </c>
      <c r="AW269" s="407">
        <v>0</v>
      </c>
      <c r="AX269" s="407">
        <v>777900</v>
      </c>
      <c r="AY269" s="407">
        <v>1055394.375</v>
      </c>
      <c r="AZ269" s="407">
        <v>197530</v>
      </c>
      <c r="BA269" s="407">
        <v>2225</v>
      </c>
      <c r="BB269" s="407">
        <v>0</v>
      </c>
      <c r="BC269" s="407">
        <v>66631392.278842703</v>
      </c>
      <c r="BD269" s="407">
        <v>66631392.278842703</v>
      </c>
      <c r="BF269" s="402">
        <v>49578608.009999998</v>
      </c>
      <c r="BG269" s="402">
        <v>11126208.43134274</v>
      </c>
      <c r="BH269" s="402">
        <v>704781.65999999992</v>
      </c>
      <c r="BI269" s="402">
        <v>2299110.82125</v>
      </c>
      <c r="BJ269" s="402">
        <v>63708708.9225927</v>
      </c>
      <c r="BK269" s="402">
        <v>-2922683.3562500002</v>
      </c>
      <c r="BL269" s="402">
        <v>0</v>
      </c>
      <c r="BM269" s="402">
        <v>37709948.749999993</v>
      </c>
      <c r="BN269" s="402">
        <v>2192972.6257631024</v>
      </c>
    </row>
    <row r="270" spans="1:66" s="407" customFormat="1" x14ac:dyDescent="0.3">
      <c r="A270" s="399">
        <v>249</v>
      </c>
      <c r="B270" s="400" t="s">
        <v>1487</v>
      </c>
      <c r="C270" s="400">
        <v>54</v>
      </c>
      <c r="D270" s="400"/>
      <c r="E270" s="401"/>
      <c r="F270" s="399">
        <v>0</v>
      </c>
      <c r="G270" s="399">
        <v>0</v>
      </c>
      <c r="H270" s="399">
        <v>0</v>
      </c>
      <c r="I270" s="399">
        <v>403378.98362942057</v>
      </c>
      <c r="J270" s="399">
        <v>370424.37448686402</v>
      </c>
      <c r="K270" s="399">
        <v>564710.98950000026</v>
      </c>
      <c r="L270" s="407">
        <v>462488.9</v>
      </c>
      <c r="M270" s="407">
        <v>185692</v>
      </c>
      <c r="N270" s="407">
        <v>1863761</v>
      </c>
      <c r="O270" s="407">
        <v>0</v>
      </c>
      <c r="P270" s="407">
        <v>0</v>
      </c>
      <c r="Q270" s="407">
        <v>241839.54222850417</v>
      </c>
      <c r="R270" s="407">
        <v>193471.53706504611</v>
      </c>
      <c r="S270" s="408">
        <v>387801.61</v>
      </c>
      <c r="T270" s="407">
        <v>2914748.75</v>
      </c>
      <c r="U270" s="407">
        <v>3010248.75</v>
      </c>
      <c r="V270" s="407">
        <v>2912307.5</v>
      </c>
      <c r="W270" s="407">
        <v>2907425</v>
      </c>
      <c r="X270" s="409">
        <v>278289.26</v>
      </c>
      <c r="Y270" s="407">
        <v>0</v>
      </c>
      <c r="Z270" s="407">
        <v>722420</v>
      </c>
      <c r="AA270" s="407">
        <v>0</v>
      </c>
      <c r="AB270" s="407">
        <v>11067.529999999999</v>
      </c>
      <c r="AC270" s="407">
        <v>0</v>
      </c>
      <c r="AD270" s="407">
        <v>27525</v>
      </c>
      <c r="AE270" s="407">
        <v>0</v>
      </c>
      <c r="AF270" s="407">
        <v>0</v>
      </c>
      <c r="AG270" s="407">
        <v>15180</v>
      </c>
      <c r="AH270" s="407">
        <v>1573062</v>
      </c>
      <c r="AI270" s="407">
        <v>550411</v>
      </c>
      <c r="AJ270" s="407">
        <v>154378</v>
      </c>
      <c r="AK270" s="407">
        <v>0</v>
      </c>
      <c r="AL270" s="405">
        <v>281133</v>
      </c>
      <c r="AM270" s="407">
        <v>9461.4</v>
      </c>
      <c r="AN270" s="407">
        <v>0</v>
      </c>
      <c r="AO270" s="407">
        <v>0</v>
      </c>
      <c r="AP270" s="407">
        <v>67581.649999999994</v>
      </c>
      <c r="AQ270" s="407">
        <v>0</v>
      </c>
      <c r="AR270" s="407">
        <v>25200</v>
      </c>
      <c r="AS270" s="407">
        <v>221.38</v>
      </c>
      <c r="AT270" s="409">
        <v>919850</v>
      </c>
      <c r="AU270" s="407">
        <v>222630</v>
      </c>
      <c r="AV270" s="407">
        <v>465550.34499999997</v>
      </c>
      <c r="AW270" s="407">
        <v>0</v>
      </c>
      <c r="AX270" s="407">
        <v>777900</v>
      </c>
      <c r="AY270" s="407">
        <v>374305.3125</v>
      </c>
      <c r="AZ270" s="407">
        <v>135680</v>
      </c>
      <c r="BA270" s="407">
        <v>2225</v>
      </c>
      <c r="BB270" s="407">
        <v>0</v>
      </c>
      <c r="BC270" s="407">
        <v>23032369.814409833</v>
      </c>
      <c r="BD270" s="407">
        <v>23032369.814409833</v>
      </c>
      <c r="BF270" s="402">
        <v>15165225.26</v>
      </c>
      <c r="BG270" s="402">
        <v>4673568.9369098349</v>
      </c>
      <c r="BH270" s="402">
        <v>27525</v>
      </c>
      <c r="BI270" s="402">
        <v>1562329.6025</v>
      </c>
      <c r="BJ270" s="402">
        <v>21301893.799409837</v>
      </c>
      <c r="BK270" s="402">
        <v>-1730476.0150000001</v>
      </c>
      <c r="BL270" s="402">
        <v>0</v>
      </c>
      <c r="BM270" s="402">
        <v>11744730</v>
      </c>
      <c r="BN270" s="402">
        <v>823112.68929355033</v>
      </c>
    </row>
    <row r="271" spans="1:66" s="407" customFormat="1" x14ac:dyDescent="0.3">
      <c r="A271" s="399">
        <v>250</v>
      </c>
      <c r="B271" s="400" t="s">
        <v>857</v>
      </c>
      <c r="C271" s="400"/>
      <c r="D271" s="400"/>
      <c r="E271" s="401"/>
      <c r="F271" s="399"/>
      <c r="G271" s="399"/>
      <c r="H271" s="399"/>
      <c r="I271" s="399"/>
      <c r="J271" s="399"/>
      <c r="K271" s="399">
        <v>2166677.7429166664</v>
      </c>
      <c r="L271" s="407">
        <v>828453.52333333355</v>
      </c>
      <c r="M271" s="407">
        <v>0</v>
      </c>
      <c r="N271" s="407">
        <v>15208183</v>
      </c>
      <c r="O271" s="407">
        <v>0</v>
      </c>
      <c r="P271" s="407">
        <v>0</v>
      </c>
      <c r="Q271" s="407">
        <v>1094102.2754053182</v>
      </c>
      <c r="R271" s="407">
        <v>875281.82032425469</v>
      </c>
      <c r="S271" s="408">
        <v>1179894.44</v>
      </c>
      <c r="T271" s="407">
        <v>0</v>
      </c>
      <c r="U271" s="407">
        <v>0</v>
      </c>
      <c r="V271" s="407">
        <v>0</v>
      </c>
      <c r="W271" s="407">
        <v>0</v>
      </c>
      <c r="X271" s="409">
        <v>0</v>
      </c>
      <c r="Y271" s="407">
        <v>0</v>
      </c>
      <c r="Z271" s="407">
        <v>0</v>
      </c>
      <c r="AA271" s="407">
        <v>0</v>
      </c>
      <c r="AB271" s="407">
        <v>0</v>
      </c>
      <c r="AC271" s="407">
        <v>0</v>
      </c>
      <c r="AD271" s="407">
        <v>910700.56</v>
      </c>
      <c r="AE271" s="407">
        <v>752325.39</v>
      </c>
      <c r="AF271" s="407">
        <v>0</v>
      </c>
      <c r="AG271" s="407">
        <v>0</v>
      </c>
      <c r="AL271" s="405"/>
      <c r="AT271" s="409"/>
      <c r="BF271" s="402"/>
      <c r="BG271" s="402"/>
      <c r="BH271" s="402"/>
      <c r="BI271" s="402"/>
      <c r="BJ271" s="402"/>
      <c r="BK271" s="402"/>
      <c r="BL271" s="402"/>
      <c r="BM271" s="402"/>
      <c r="BN271" s="402"/>
    </row>
    <row r="272" spans="1:66" s="407" customFormat="1" x14ac:dyDescent="0.3">
      <c r="A272" s="399">
        <v>251</v>
      </c>
      <c r="B272" s="400" t="s">
        <v>581</v>
      </c>
      <c r="C272" s="400"/>
      <c r="D272" s="400"/>
      <c r="E272" s="401"/>
      <c r="F272" s="399"/>
      <c r="G272" s="399"/>
      <c r="H272" s="399"/>
      <c r="I272" s="399"/>
      <c r="J272" s="399"/>
      <c r="K272" s="399">
        <v>4432598.6050392929</v>
      </c>
      <c r="L272" s="407">
        <v>2152877.0916666673</v>
      </c>
      <c r="M272" s="407">
        <v>0</v>
      </c>
      <c r="N272" s="407">
        <v>15208183</v>
      </c>
      <c r="O272" s="407">
        <v>0</v>
      </c>
      <c r="P272" s="407">
        <v>0</v>
      </c>
      <c r="Q272" s="407">
        <v>1932276.1267835735</v>
      </c>
      <c r="R272" s="407">
        <v>1545820.8047091016</v>
      </c>
      <c r="S272" s="408">
        <v>1864154.23</v>
      </c>
      <c r="T272" s="407">
        <v>9534535.625</v>
      </c>
      <c r="U272" s="407">
        <v>9592846.8749999981</v>
      </c>
      <c r="V272" s="407">
        <v>9295298.125</v>
      </c>
      <c r="W272" s="407">
        <v>0</v>
      </c>
      <c r="X272" s="409">
        <v>85110.11</v>
      </c>
      <c r="Y272" s="407">
        <v>0</v>
      </c>
      <c r="Z272" s="407">
        <v>3320746</v>
      </c>
      <c r="AA272" s="407">
        <v>0</v>
      </c>
      <c r="AB272" s="407">
        <v>21459.21</v>
      </c>
      <c r="AC272" s="407">
        <v>0</v>
      </c>
      <c r="AD272" s="407">
        <v>1238958.06</v>
      </c>
      <c r="AE272" s="407">
        <v>1128849.55</v>
      </c>
      <c r="AF272" s="407">
        <v>0</v>
      </c>
      <c r="AG272" s="407">
        <v>0</v>
      </c>
      <c r="AH272" s="407">
        <v>6550940</v>
      </c>
      <c r="AI272" s="407">
        <v>1272160</v>
      </c>
      <c r="AJ272" s="407">
        <v>409666</v>
      </c>
      <c r="AK272" s="407">
        <v>0</v>
      </c>
      <c r="AL272" s="419">
        <v>281133</v>
      </c>
      <c r="AM272" s="407">
        <v>9461.4</v>
      </c>
      <c r="AN272" s="407">
        <v>21678</v>
      </c>
      <c r="AO272" s="407">
        <v>0</v>
      </c>
      <c r="AP272" s="407">
        <v>137853.65</v>
      </c>
      <c r="AQ272" s="407">
        <v>0</v>
      </c>
      <c r="AR272" s="407">
        <v>93600</v>
      </c>
      <c r="AS272" s="407">
        <v>9733.68</v>
      </c>
      <c r="AT272" s="409">
        <v>1043021.3300000001</v>
      </c>
      <c r="AU272" s="407">
        <v>383550</v>
      </c>
      <c r="AV272" s="407">
        <v>1208932.5325</v>
      </c>
      <c r="AW272" s="407">
        <v>0</v>
      </c>
      <c r="AX272" s="407">
        <v>777900</v>
      </c>
      <c r="AY272" s="407">
        <v>1055394.375</v>
      </c>
      <c r="AZ272" s="407">
        <v>197530</v>
      </c>
      <c r="BA272" s="407">
        <v>2225</v>
      </c>
      <c r="BB272" s="407">
        <v>0</v>
      </c>
      <c r="BC272" s="407">
        <v>66631392.278842703</v>
      </c>
      <c r="BD272" s="407">
        <v>66631392.278842703</v>
      </c>
      <c r="BF272" s="402"/>
      <c r="BG272" s="402"/>
      <c r="BH272" s="402"/>
      <c r="BI272" s="402"/>
      <c r="BJ272" s="402"/>
      <c r="BK272" s="402"/>
      <c r="BL272" s="402"/>
      <c r="BM272" s="402"/>
      <c r="BN272" s="402"/>
    </row>
    <row r="273" spans="1:66" s="407" customFormat="1" x14ac:dyDescent="0.3">
      <c r="A273" s="399">
        <v>252</v>
      </c>
      <c r="B273" s="400"/>
      <c r="C273" s="400"/>
      <c r="D273" s="400"/>
      <c r="E273" s="401"/>
      <c r="F273" s="399"/>
      <c r="G273" s="399"/>
      <c r="H273" s="399"/>
      <c r="I273" s="399"/>
      <c r="J273" s="399"/>
      <c r="K273" s="399"/>
      <c r="S273" s="408"/>
      <c r="X273" s="409"/>
      <c r="AB273" s="407" t="s">
        <v>1483</v>
      </c>
      <c r="AL273" s="419"/>
      <c r="AT273" s="409"/>
      <c r="BF273" s="402"/>
      <c r="BG273" s="402"/>
      <c r="BH273" s="402"/>
      <c r="BI273" s="402"/>
      <c r="BJ273" s="402"/>
      <c r="BK273" s="402"/>
      <c r="BL273" s="402"/>
      <c r="BM273" s="402"/>
      <c r="BN273" s="402"/>
    </row>
    <row r="274" spans="1:66" x14ac:dyDescent="0.3">
      <c r="L274" s="407" t="s">
        <v>1488</v>
      </c>
      <c r="S274" s="408" t="s">
        <v>1479</v>
      </c>
      <c r="X274" s="409" t="s">
        <v>1489</v>
      </c>
    </row>
    <row r="300" spans="1:1" x14ac:dyDescent="0.3">
      <c r="A300" s="450" t="s">
        <v>1496</v>
      </c>
    </row>
    <row r="301" spans="1:1" x14ac:dyDescent="0.3">
      <c r="A301" s="399" t="s">
        <v>1497</v>
      </c>
    </row>
    <row r="302" spans="1:1" x14ac:dyDescent="0.3">
      <c r="A302" s="399" t="s">
        <v>1498</v>
      </c>
    </row>
    <row r="304" spans="1:1" x14ac:dyDescent="0.3">
      <c r="A304" s="399" t="s">
        <v>1499</v>
      </c>
    </row>
  </sheetData>
  <conditionalFormatting sqref="F203:H220 F222:H242 F33:H201 I32:L242 BD5:BD242 F6:L31 X6:BC242 N6:V242 F5:BC5">
    <cfRule type="cellIs" dxfId="9" priority="10" stopIfTrue="1" operator="lessThan">
      <formula>0</formula>
    </cfRule>
  </conditionalFormatting>
  <conditionalFormatting sqref="A1:A243 A265:A65545 A256:A263">
    <cfRule type="containsText" dxfId="8" priority="9" stopIfTrue="1" operator="containsText" text="Academy">
      <formula>NOT(ISERROR(SEARCH("Academy",A1)))</formula>
    </cfRule>
  </conditionalFormatting>
  <conditionalFormatting sqref="W6:W242">
    <cfRule type="cellIs" dxfId="7" priority="8" stopIfTrue="1" operator="lessThan">
      <formula>0</formula>
    </cfRule>
  </conditionalFormatting>
  <conditionalFormatting sqref="M203:M207 M209 M211">
    <cfRule type="cellIs" dxfId="6" priority="7" stopIfTrue="1" operator="lessThan">
      <formula>0</formula>
    </cfRule>
  </conditionalFormatting>
  <conditionalFormatting sqref="A252:A253 B254:B255">
    <cfRule type="containsText" dxfId="5" priority="6" stopIfTrue="1" operator="containsText" text="Academy">
      <formula>NOT(ISERROR(SEARCH("Academy",A252)))</formula>
    </cfRule>
  </conditionalFormatting>
  <conditionalFormatting sqref="A244:A251">
    <cfRule type="containsText" dxfId="4" priority="5" stopIfTrue="1" operator="containsText" text="Academy">
      <formula>NOT(ISERROR(SEARCH("Academy",A244)))</formula>
    </cfRule>
  </conditionalFormatting>
  <conditionalFormatting sqref="M6:M202">
    <cfRule type="cellIs" dxfId="3" priority="4" stopIfTrue="1" operator="lessThan">
      <formula>0</formula>
    </cfRule>
  </conditionalFormatting>
  <conditionalFormatting sqref="M208">
    <cfRule type="cellIs" dxfId="2" priority="3" stopIfTrue="1" operator="lessThan">
      <formula>0</formula>
    </cfRule>
  </conditionalFormatting>
  <conditionalFormatting sqref="M210">
    <cfRule type="cellIs" dxfId="1" priority="2" stopIfTrue="1" operator="lessThan">
      <formula>0</formula>
    </cfRule>
  </conditionalFormatting>
  <conditionalFormatting sqref="M212:M242">
    <cfRule type="cellIs" dxfId="0" priority="1" stopIfTrue="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1164-F8DB-4512-BC79-6DBA5B4D98E9}">
  <dimension ref="A1:BA318"/>
  <sheetViews>
    <sheetView workbookViewId="0">
      <pane xSplit="7" ySplit="9" topLeftCell="H157" activePane="bottomRight" state="frozen"/>
      <selection activeCell="BC3" sqref="BC3:BC251"/>
      <selection pane="topRight" activeCell="BC3" sqref="BC3:BC251"/>
      <selection pane="bottomLeft" activeCell="BC3" sqref="BC3:BC251"/>
      <selection pane="bottomRight" activeCell="D164" sqref="D164"/>
    </sheetView>
  </sheetViews>
  <sheetFormatPr defaultColWidth="8.77734375" defaultRowHeight="13.2" x14ac:dyDescent="0.25"/>
  <cols>
    <col min="1" max="3" width="8.77734375" style="464"/>
    <col min="4" max="4" width="30.5546875" style="464" customWidth="1"/>
    <col min="5" max="7" width="8.77734375" style="464"/>
    <col min="8" max="8" width="13.109375" style="464" bestFit="1" customWidth="1"/>
    <col min="9" max="9" width="11.109375" style="464" bestFit="1" customWidth="1"/>
    <col min="10" max="10" width="13.109375" style="464" bestFit="1" customWidth="1"/>
    <col min="11" max="11" width="14.5546875" style="464" customWidth="1"/>
    <col min="12" max="12" width="13.77734375" style="464" customWidth="1"/>
    <col min="13" max="13" width="10.44140625" style="464" bestFit="1" customWidth="1"/>
    <col min="14" max="14" width="14.109375" style="464" bestFit="1" customWidth="1"/>
    <col min="15" max="15" width="13.109375" style="464" bestFit="1" customWidth="1"/>
    <col min="16" max="16" width="10.44140625" style="464" bestFit="1" customWidth="1"/>
    <col min="17" max="17" width="8.77734375" style="464" bestFit="1" customWidth="1"/>
    <col min="18" max="18" width="10.44140625" style="464" bestFit="1" customWidth="1"/>
    <col min="19" max="19" width="13.109375" style="464" bestFit="1" customWidth="1"/>
    <col min="20" max="20" width="14.77734375" style="464" bestFit="1" customWidth="1"/>
    <col min="21" max="21" width="8.77734375" style="464" bestFit="1" customWidth="1"/>
    <col min="22" max="22" width="12.5546875" style="464" customWidth="1"/>
    <col min="23" max="23" width="18.5546875" style="464" customWidth="1"/>
    <col min="24" max="24" width="15.21875" style="464" customWidth="1"/>
    <col min="25" max="27" width="8.77734375" style="464" bestFit="1" customWidth="1"/>
    <col min="28" max="28" width="14.88671875" style="464" bestFit="1" customWidth="1"/>
    <col min="29" max="29" width="13.88671875" style="464" bestFit="1" customWidth="1"/>
    <col min="30" max="30" width="10.21875" style="464" bestFit="1" customWidth="1"/>
    <col min="31" max="31" width="13.88671875" style="464" bestFit="1" customWidth="1"/>
    <col min="32" max="32" width="12.77734375" style="464" bestFit="1" customWidth="1"/>
    <col min="33" max="33" width="13.88671875" style="464" customWidth="1"/>
    <col min="34" max="35" width="13.88671875" style="464" bestFit="1" customWidth="1"/>
    <col min="36" max="36" width="10.21875" style="464" bestFit="1" customWidth="1"/>
    <col min="37" max="38" width="8.77734375" style="464"/>
    <col min="39" max="39" width="13.77734375" style="464" bestFit="1" customWidth="1"/>
    <col min="40" max="16384" width="8.77734375" style="464"/>
  </cols>
  <sheetData>
    <row r="1" spans="1:53" ht="15.6" x14ac:dyDescent="0.3">
      <c r="A1" s="465" t="s">
        <v>1417</v>
      </c>
      <c r="B1" s="465"/>
      <c r="D1" s="465"/>
      <c r="E1" s="465"/>
      <c r="F1" s="466"/>
      <c r="G1" s="466"/>
      <c r="H1" s="465"/>
      <c r="I1" s="465"/>
      <c r="J1" s="467"/>
      <c r="K1" s="465"/>
      <c r="L1" s="465"/>
      <c r="AI1" s="468" t="s">
        <v>37</v>
      </c>
      <c r="AJ1" s="469">
        <v>1.4E-3</v>
      </c>
      <c r="AK1" s="470"/>
    </row>
    <row r="2" spans="1:53" x14ac:dyDescent="0.25">
      <c r="A2" s="453">
        <v>1</v>
      </c>
      <c r="B2" s="453">
        <v>1</v>
      </c>
      <c r="C2" s="453">
        <v>2</v>
      </c>
      <c r="D2" s="453">
        <v>3</v>
      </c>
      <c r="E2" s="453">
        <v>4</v>
      </c>
      <c r="F2" s="453">
        <v>5</v>
      </c>
      <c r="G2" s="453">
        <v>6</v>
      </c>
      <c r="H2" s="453">
        <v>7</v>
      </c>
      <c r="I2" s="453">
        <v>8</v>
      </c>
      <c r="J2" s="453">
        <v>9</v>
      </c>
      <c r="K2" s="453">
        <v>10</v>
      </c>
      <c r="L2" s="453">
        <v>11</v>
      </c>
      <c r="M2" s="453">
        <v>12</v>
      </c>
      <c r="N2" s="453">
        <v>13</v>
      </c>
      <c r="O2" s="453">
        <v>14</v>
      </c>
      <c r="P2" s="453">
        <v>15</v>
      </c>
      <c r="Q2" s="453">
        <v>16</v>
      </c>
      <c r="R2" s="453">
        <v>17</v>
      </c>
      <c r="S2" s="453">
        <v>18</v>
      </c>
      <c r="T2" s="453">
        <v>19</v>
      </c>
      <c r="U2" s="453">
        <v>20</v>
      </c>
      <c r="V2" s="453">
        <v>21</v>
      </c>
      <c r="W2" s="453">
        <v>22</v>
      </c>
      <c r="X2" s="453">
        <v>23</v>
      </c>
      <c r="Y2" s="453">
        <v>24</v>
      </c>
      <c r="Z2" s="453">
        <v>25</v>
      </c>
      <c r="AA2" s="453">
        <v>26</v>
      </c>
      <c r="AB2" s="453">
        <v>27</v>
      </c>
      <c r="AC2" s="453">
        <v>28</v>
      </c>
      <c r="AD2" s="453">
        <v>29</v>
      </c>
      <c r="AE2" s="453">
        <v>30</v>
      </c>
      <c r="AF2" s="453">
        <v>30</v>
      </c>
      <c r="AG2" s="453">
        <v>31</v>
      </c>
      <c r="AH2" s="453">
        <v>32</v>
      </c>
      <c r="AI2" s="453">
        <v>33</v>
      </c>
      <c r="AJ2" s="453">
        <v>34</v>
      </c>
      <c r="AK2" s="453">
        <v>35</v>
      </c>
      <c r="AL2" s="453">
        <v>36</v>
      </c>
      <c r="AM2" s="453">
        <v>37</v>
      </c>
      <c r="AN2" s="453">
        <v>38</v>
      </c>
    </row>
    <row r="3" spans="1:53" x14ac:dyDescent="0.25">
      <c r="C3" s="453">
        <v>1</v>
      </c>
      <c r="E3" s="471"/>
      <c r="Z3" s="454"/>
      <c r="AE3" s="471" t="s">
        <v>38</v>
      </c>
      <c r="AF3" s="471"/>
    </row>
    <row r="4" spans="1:53" x14ac:dyDescent="0.25">
      <c r="F4" s="471"/>
      <c r="G4" s="471"/>
      <c r="H4" s="453" t="s">
        <v>1418</v>
      </c>
      <c r="K4" s="584" t="s">
        <v>1419</v>
      </c>
      <c r="L4" s="585"/>
      <c r="M4" s="585"/>
      <c r="N4" s="586"/>
      <c r="O4" s="584" t="s">
        <v>1420</v>
      </c>
      <c r="P4" s="585"/>
      <c r="Q4" s="585"/>
      <c r="R4" s="585"/>
      <c r="S4" s="586"/>
      <c r="T4" s="454"/>
      <c r="U4" s="454"/>
      <c r="V4" s="454" t="s">
        <v>38</v>
      </c>
      <c r="W4" s="584" t="s">
        <v>1421</v>
      </c>
      <c r="X4" s="585"/>
      <c r="Y4" s="585"/>
      <c r="Z4" s="585"/>
      <c r="AA4" s="585"/>
      <c r="AB4" s="586"/>
      <c r="AC4" s="454" t="s">
        <v>39</v>
      </c>
      <c r="AD4" s="454" t="s">
        <v>40</v>
      </c>
      <c r="AE4" s="471" t="s">
        <v>39</v>
      </c>
      <c r="AG4" s="584" t="s">
        <v>41</v>
      </c>
      <c r="AH4" s="585"/>
      <c r="AI4" s="585"/>
      <c r="AJ4" s="586"/>
    </row>
    <row r="5" spans="1:53" x14ac:dyDescent="0.25">
      <c r="B5" s="453" t="s">
        <v>42</v>
      </c>
      <c r="I5" s="454"/>
      <c r="J5" s="472" t="s">
        <v>43</v>
      </c>
      <c r="K5" s="473" t="s">
        <v>44</v>
      </c>
      <c r="L5" s="587" t="s">
        <v>45</v>
      </c>
      <c r="M5" s="588"/>
      <c r="N5" s="473" t="s">
        <v>38</v>
      </c>
      <c r="O5" s="473"/>
      <c r="P5" s="473"/>
      <c r="Q5" s="474"/>
      <c r="R5" s="474"/>
      <c r="S5" s="473" t="s">
        <v>38</v>
      </c>
      <c r="T5" s="454" t="s">
        <v>46</v>
      </c>
      <c r="U5" s="454" t="s">
        <v>47</v>
      </c>
      <c r="V5" s="454" t="s">
        <v>48</v>
      </c>
      <c r="W5" s="475" t="s">
        <v>1422</v>
      </c>
      <c r="X5" s="475" t="s">
        <v>1422</v>
      </c>
      <c r="Y5" s="476" t="s">
        <v>49</v>
      </c>
      <c r="Z5" s="476" t="s">
        <v>50</v>
      </c>
      <c r="AA5" s="477" t="s">
        <v>51</v>
      </c>
      <c r="AB5" s="474" t="s">
        <v>38</v>
      </c>
      <c r="AC5" s="454" t="s">
        <v>52</v>
      </c>
      <c r="AD5" s="454" t="s">
        <v>53</v>
      </c>
      <c r="AE5" s="471" t="s">
        <v>52</v>
      </c>
      <c r="AF5" s="454" t="s">
        <v>54</v>
      </c>
      <c r="AG5" s="478"/>
      <c r="AH5" s="479" t="s">
        <v>55</v>
      </c>
      <c r="AI5" s="454" t="s">
        <v>56</v>
      </c>
      <c r="AJ5" s="480" t="s">
        <v>57</v>
      </c>
    </row>
    <row r="6" spans="1:53" x14ac:dyDescent="0.25">
      <c r="A6" s="454" t="s">
        <v>58</v>
      </c>
      <c r="B6" s="454" t="s">
        <v>59</v>
      </c>
      <c r="C6" s="454" t="s">
        <v>60</v>
      </c>
      <c r="D6" s="481" t="s">
        <v>61</v>
      </c>
      <c r="G6" s="454" t="s">
        <v>62</v>
      </c>
      <c r="H6" s="454" t="s">
        <v>63</v>
      </c>
      <c r="I6" s="454" t="s">
        <v>63</v>
      </c>
      <c r="J6" s="472" t="s">
        <v>63</v>
      </c>
      <c r="K6" s="482" t="s">
        <v>64</v>
      </c>
      <c r="L6" s="589" t="s">
        <v>65</v>
      </c>
      <c r="M6" s="590"/>
      <c r="N6" s="482" t="s">
        <v>66</v>
      </c>
      <c r="O6" s="482" t="s">
        <v>67</v>
      </c>
      <c r="P6" s="482" t="s">
        <v>68</v>
      </c>
      <c r="Q6" s="480" t="s">
        <v>69</v>
      </c>
      <c r="R6" s="480" t="s">
        <v>70</v>
      </c>
      <c r="S6" s="482" t="s">
        <v>47</v>
      </c>
      <c r="T6" s="454"/>
      <c r="U6" s="454" t="s">
        <v>71</v>
      </c>
      <c r="V6" s="454" t="s">
        <v>72</v>
      </c>
      <c r="W6" s="483" t="s">
        <v>58</v>
      </c>
      <c r="X6" s="483" t="s">
        <v>58</v>
      </c>
      <c r="Y6" s="484" t="s">
        <v>1423</v>
      </c>
      <c r="Z6" s="454" t="s">
        <v>73</v>
      </c>
      <c r="AA6" s="454" t="s">
        <v>74</v>
      </c>
      <c r="AB6" s="480" t="s">
        <v>75</v>
      </c>
      <c r="AC6" s="454" t="s">
        <v>1422</v>
      </c>
      <c r="AD6" s="454" t="s">
        <v>76</v>
      </c>
      <c r="AE6" s="471" t="s">
        <v>1422</v>
      </c>
      <c r="AF6" s="454" t="s">
        <v>77</v>
      </c>
      <c r="AG6" s="483" t="s">
        <v>1424</v>
      </c>
      <c r="AH6" s="454" t="s">
        <v>57</v>
      </c>
      <c r="AI6" s="454" t="s">
        <v>78</v>
      </c>
      <c r="AJ6" s="480" t="s">
        <v>79</v>
      </c>
      <c r="AO6" s="454" t="s">
        <v>80</v>
      </c>
      <c r="AP6" s="454" t="s">
        <v>81</v>
      </c>
    </row>
    <row r="7" spans="1:53" x14ac:dyDescent="0.25">
      <c r="A7" s="454" t="s">
        <v>82</v>
      </c>
      <c r="B7" s="454"/>
      <c r="C7" s="454" t="s">
        <v>82</v>
      </c>
      <c r="E7" s="454" t="s">
        <v>83</v>
      </c>
      <c r="F7" s="454" t="s">
        <v>84</v>
      </c>
      <c r="G7" s="454" t="s">
        <v>85</v>
      </c>
      <c r="H7" s="454" t="s">
        <v>1424</v>
      </c>
      <c r="I7" s="454" t="s">
        <v>1424</v>
      </c>
      <c r="J7" s="472" t="s">
        <v>1424</v>
      </c>
      <c r="K7" s="485" t="s">
        <v>1425</v>
      </c>
      <c r="L7" s="486" t="s">
        <v>6</v>
      </c>
      <c r="M7" s="487" t="s">
        <v>70</v>
      </c>
      <c r="N7" s="485"/>
      <c r="O7" s="485" t="s">
        <v>87</v>
      </c>
      <c r="P7" s="485" t="s">
        <v>87</v>
      </c>
      <c r="Q7" s="488" t="s">
        <v>88</v>
      </c>
      <c r="R7" s="488" t="s">
        <v>87</v>
      </c>
      <c r="S7" s="485" t="s">
        <v>89</v>
      </c>
      <c r="T7" s="454"/>
      <c r="U7" s="454" t="s">
        <v>90</v>
      </c>
      <c r="V7" s="454" t="s">
        <v>1422</v>
      </c>
      <c r="W7" s="489" t="s">
        <v>1426</v>
      </c>
      <c r="X7" s="489" t="s">
        <v>1427</v>
      </c>
      <c r="Y7" s="488"/>
      <c r="Z7" s="488" t="s">
        <v>92</v>
      </c>
      <c r="AA7" s="488" t="s">
        <v>92</v>
      </c>
      <c r="AB7" s="490" t="s">
        <v>93</v>
      </c>
      <c r="AC7" s="454" t="s">
        <v>94</v>
      </c>
      <c r="AD7" s="454" t="s">
        <v>1422</v>
      </c>
      <c r="AE7" s="471" t="s">
        <v>95</v>
      </c>
      <c r="AF7" s="454" t="s">
        <v>96</v>
      </c>
      <c r="AG7" s="489" t="s">
        <v>97</v>
      </c>
      <c r="AH7" s="488" t="s">
        <v>79</v>
      </c>
      <c r="AI7" s="488" t="s">
        <v>98</v>
      </c>
      <c r="AJ7" s="490" t="s">
        <v>1422</v>
      </c>
      <c r="AP7" s="454" t="s">
        <v>80</v>
      </c>
      <c r="AU7" s="453" t="s">
        <v>1428</v>
      </c>
      <c r="AV7" s="460" t="s">
        <v>99</v>
      </c>
    </row>
    <row r="8" spans="1:53" x14ac:dyDescent="0.25">
      <c r="I8" s="454" t="s">
        <v>49</v>
      </c>
      <c r="K8" s="454"/>
      <c r="M8" s="453"/>
      <c r="V8" s="454"/>
      <c r="W8" s="491"/>
      <c r="X8" s="454"/>
      <c r="Y8" s="492"/>
      <c r="Z8" s="492"/>
      <c r="AC8" s="454"/>
      <c r="AD8" s="454"/>
      <c r="AE8" s="471"/>
      <c r="AF8" s="471"/>
    </row>
    <row r="9" spans="1:53" x14ac:dyDescent="0.25">
      <c r="Y9" s="453"/>
      <c r="Z9" s="453"/>
      <c r="AE9" s="452"/>
      <c r="AF9" s="452"/>
      <c r="AW9" s="453" t="s">
        <v>1429</v>
      </c>
    </row>
    <row r="10" spans="1:53" x14ac:dyDescent="0.25">
      <c r="A10" s="453" t="s">
        <v>100</v>
      </c>
      <c r="B10" s="453">
        <v>1027</v>
      </c>
      <c r="C10" s="453">
        <v>1027</v>
      </c>
      <c r="D10" s="453" t="s">
        <v>101</v>
      </c>
      <c r="F10" s="454" t="s">
        <v>102</v>
      </c>
      <c r="G10" s="454" t="s">
        <v>36</v>
      </c>
      <c r="H10" s="451">
        <v>-259706.49002374674</v>
      </c>
      <c r="I10" s="451">
        <v>0</v>
      </c>
      <c r="J10" s="455">
        <v>-259706.49002374674</v>
      </c>
      <c r="K10" s="451">
        <v>589835.96204384835</v>
      </c>
      <c r="L10" s="451">
        <v>21586</v>
      </c>
      <c r="M10" s="451">
        <v>-44873.488306451589</v>
      </c>
      <c r="N10" s="451">
        <v>566548.47373739677</v>
      </c>
      <c r="O10" s="451">
        <v>4175</v>
      </c>
      <c r="P10" s="451">
        <v>0</v>
      </c>
      <c r="Q10" s="451">
        <v>0</v>
      </c>
      <c r="R10" s="451">
        <v>0</v>
      </c>
      <c r="S10" s="451">
        <v>4175</v>
      </c>
      <c r="T10" s="451">
        <v>570723.47373739677</v>
      </c>
      <c r="U10" s="451">
        <v>0</v>
      </c>
      <c r="V10" s="451">
        <v>311016.98371365003</v>
      </c>
      <c r="W10" s="451">
        <v>504231.77</v>
      </c>
      <c r="X10" s="451">
        <v>0</v>
      </c>
      <c r="Y10" s="451"/>
      <c r="Z10" s="451"/>
      <c r="AA10" s="456"/>
      <c r="AB10" s="451">
        <v>504231.77</v>
      </c>
      <c r="AC10" s="451">
        <v>-193214.78628634999</v>
      </c>
      <c r="AD10" s="451">
        <v>0</v>
      </c>
      <c r="AE10" s="457">
        <v>-193214.78628634999</v>
      </c>
      <c r="AF10" s="451">
        <v>66491.703737396747</v>
      </c>
      <c r="AG10" s="451">
        <v>-259706.49002374674</v>
      </c>
      <c r="AH10" s="451">
        <v>0</v>
      </c>
      <c r="AI10" s="451">
        <v>0</v>
      </c>
      <c r="AJ10" s="451">
        <v>0</v>
      </c>
      <c r="AK10" s="462"/>
      <c r="AL10" s="453" t="s">
        <v>103</v>
      </c>
      <c r="AM10" s="451">
        <v>-193214.78628634999</v>
      </c>
      <c r="AN10" s="453" t="s">
        <v>103</v>
      </c>
      <c r="AO10" s="453">
        <v>24</v>
      </c>
      <c r="AP10" s="453">
        <v>24</v>
      </c>
      <c r="AQ10" s="458">
        <v>-0.33854361205975669</v>
      </c>
      <c r="AS10" s="459" t="s">
        <v>104</v>
      </c>
      <c r="AT10" s="453" t="s">
        <v>104</v>
      </c>
      <c r="AU10" s="464" t="s">
        <v>100</v>
      </c>
      <c r="AV10" s="460" t="s">
        <v>36</v>
      </c>
      <c r="AW10" s="453" t="s">
        <v>1430</v>
      </c>
    </row>
    <row r="11" spans="1:53" x14ac:dyDescent="0.25">
      <c r="A11" s="453" t="s">
        <v>105</v>
      </c>
      <c r="B11" s="453">
        <v>1017</v>
      </c>
      <c r="C11" s="453">
        <v>1017</v>
      </c>
      <c r="D11" s="453" t="s">
        <v>106</v>
      </c>
      <c r="F11" s="454" t="s">
        <v>102</v>
      </c>
      <c r="G11" s="454" t="s">
        <v>107</v>
      </c>
      <c r="H11" s="451">
        <v>125137.2379550559</v>
      </c>
      <c r="I11" s="451">
        <v>-24826.457955055899</v>
      </c>
      <c r="J11" s="455">
        <v>100310.78</v>
      </c>
      <c r="K11" s="451">
        <v>885967.4110041752</v>
      </c>
      <c r="L11" s="451">
        <v>29680</v>
      </c>
      <c r="M11" s="451">
        <v>-32784.619424460456</v>
      </c>
      <c r="N11" s="451">
        <v>882862.79157971474</v>
      </c>
      <c r="O11" s="451">
        <v>126424.76416666666</v>
      </c>
      <c r="P11" s="451">
        <v>0</v>
      </c>
      <c r="Q11" s="451">
        <v>0</v>
      </c>
      <c r="R11" s="451">
        <v>0</v>
      </c>
      <c r="S11" s="451">
        <v>126424.76416666666</v>
      </c>
      <c r="T11" s="451">
        <v>1009287.5557463814</v>
      </c>
      <c r="U11" s="451">
        <v>0</v>
      </c>
      <c r="V11" s="451">
        <v>1109598.3357463814</v>
      </c>
      <c r="W11" s="451">
        <v>939929.14</v>
      </c>
      <c r="X11" s="451">
        <v>0</v>
      </c>
      <c r="Y11" s="451"/>
      <c r="Z11" s="451"/>
      <c r="AA11" s="456"/>
      <c r="AB11" s="451">
        <v>939929.14</v>
      </c>
      <c r="AC11" s="451">
        <v>169669.19574638142</v>
      </c>
      <c r="AD11" s="451">
        <v>0</v>
      </c>
      <c r="AE11" s="457">
        <v>169669.19574638142</v>
      </c>
      <c r="AF11" s="451">
        <v>69358.415746381419</v>
      </c>
      <c r="AG11" s="451">
        <v>100310.78</v>
      </c>
      <c r="AH11" s="451">
        <v>0</v>
      </c>
      <c r="AI11" s="451">
        <v>0</v>
      </c>
      <c r="AJ11" s="451">
        <v>0</v>
      </c>
      <c r="AK11" s="462"/>
      <c r="AL11" s="453" t="s">
        <v>108</v>
      </c>
      <c r="AM11" s="451">
        <v>169669.19574638142</v>
      </c>
      <c r="AN11" s="453" t="s">
        <v>108</v>
      </c>
      <c r="AO11" s="453">
        <v>8</v>
      </c>
      <c r="AP11" s="453">
        <v>12</v>
      </c>
      <c r="AQ11" s="458">
        <v>0.16810788439862295</v>
      </c>
      <c r="AS11" s="459" t="s">
        <v>104</v>
      </c>
      <c r="AT11" s="453" t="s">
        <v>109</v>
      </c>
      <c r="AU11" s="464" t="s">
        <v>105</v>
      </c>
      <c r="AV11" s="460" t="s">
        <v>36</v>
      </c>
      <c r="AW11" s="453" t="s">
        <v>1431</v>
      </c>
      <c r="BA11" s="464" t="str">
        <f>_xlfn.XLOOKUP(B11,'School List from APT'!A:A,'School List from APT'!C:C,"",FALSE)</f>
        <v/>
      </c>
    </row>
    <row r="12" spans="1:53" x14ac:dyDescent="0.25">
      <c r="A12" s="453" t="s">
        <v>110</v>
      </c>
      <c r="B12" s="453">
        <v>1025</v>
      </c>
      <c r="C12" s="453">
        <v>1025</v>
      </c>
      <c r="D12" s="453" t="s">
        <v>111</v>
      </c>
      <c r="F12" s="454" t="s">
        <v>102</v>
      </c>
      <c r="G12" s="454" t="s">
        <v>36</v>
      </c>
      <c r="H12" s="451">
        <v>95479.134012287308</v>
      </c>
      <c r="I12" s="451">
        <v>0</v>
      </c>
      <c r="J12" s="455">
        <v>95479.134012287308</v>
      </c>
      <c r="K12" s="451">
        <v>600644.797582092</v>
      </c>
      <c r="L12" s="451">
        <v>21766</v>
      </c>
      <c r="M12" s="451">
        <v>-53879.538750000065</v>
      </c>
      <c r="N12" s="451">
        <v>568531.25883209193</v>
      </c>
      <c r="O12" s="451">
        <v>39729.919166666667</v>
      </c>
      <c r="P12" s="451">
        <v>0</v>
      </c>
      <c r="Q12" s="451">
        <v>0</v>
      </c>
      <c r="R12" s="451">
        <v>0</v>
      </c>
      <c r="S12" s="451">
        <v>39729.919166666667</v>
      </c>
      <c r="T12" s="451">
        <v>608261.17799875862</v>
      </c>
      <c r="U12" s="451">
        <v>0</v>
      </c>
      <c r="V12" s="451">
        <v>703740.31201104587</v>
      </c>
      <c r="W12" s="451">
        <v>571646.89</v>
      </c>
      <c r="X12" s="451">
        <v>0</v>
      </c>
      <c r="Y12" s="451"/>
      <c r="Z12" s="451"/>
      <c r="AA12" s="456"/>
      <c r="AB12" s="451">
        <v>571646.89</v>
      </c>
      <c r="AC12" s="451">
        <v>132093.42201104586</v>
      </c>
      <c r="AD12" s="451">
        <v>133.67078761720222</v>
      </c>
      <c r="AE12" s="457">
        <v>132227.09279866307</v>
      </c>
      <c r="AF12" s="451">
        <v>36747.958786375762</v>
      </c>
      <c r="AG12" s="451">
        <v>95479.134012287308</v>
      </c>
      <c r="AH12" s="451">
        <v>95479.134012287308</v>
      </c>
      <c r="AI12" s="451">
        <v>28426.562941604599</v>
      </c>
      <c r="AJ12" s="451">
        <v>133.67078761720222</v>
      </c>
      <c r="AK12" s="462"/>
      <c r="AL12" s="453" t="s">
        <v>108</v>
      </c>
      <c r="AM12" s="451">
        <v>132227.09279866307</v>
      </c>
      <c r="AN12" s="453" t="s">
        <v>108</v>
      </c>
      <c r="AO12" s="453">
        <v>10</v>
      </c>
      <c r="AP12" s="453">
        <v>9</v>
      </c>
      <c r="AQ12" s="458">
        <v>0.21738538900954307</v>
      </c>
      <c r="AS12" s="459" t="s">
        <v>104</v>
      </c>
      <c r="AT12" s="453" t="s">
        <v>104</v>
      </c>
      <c r="AU12" s="464" t="s">
        <v>110</v>
      </c>
      <c r="AV12" s="460" t="s">
        <v>36</v>
      </c>
      <c r="AW12" s="453" t="s">
        <v>1430</v>
      </c>
      <c r="BA12" s="464" t="str">
        <f>_xlfn.XLOOKUP(B12,'School List from APT'!A:A,'School List from APT'!C:C,"",FALSE)</f>
        <v/>
      </c>
    </row>
    <row r="13" spans="1:53" x14ac:dyDescent="0.25">
      <c r="A13" s="453" t="s">
        <v>112</v>
      </c>
      <c r="B13" s="453">
        <v>1001</v>
      </c>
      <c r="C13" s="453">
        <v>1001</v>
      </c>
      <c r="D13" s="453" t="s">
        <v>113</v>
      </c>
      <c r="F13" s="454" t="s">
        <v>102</v>
      </c>
      <c r="G13" s="454" t="s">
        <v>36</v>
      </c>
      <c r="H13" s="451">
        <v>18478.665257864523</v>
      </c>
      <c r="I13" s="451">
        <v>0</v>
      </c>
      <c r="J13" s="455">
        <v>18478.665257864523</v>
      </c>
      <c r="K13" s="451">
        <v>390727.12262309861</v>
      </c>
      <c r="L13" s="451">
        <v>17988</v>
      </c>
      <c r="M13" s="451">
        <v>-2850.4499999999534</v>
      </c>
      <c r="N13" s="451">
        <v>405864.67262309865</v>
      </c>
      <c r="O13" s="451">
        <v>0</v>
      </c>
      <c r="P13" s="451">
        <v>0</v>
      </c>
      <c r="Q13" s="451">
        <v>0</v>
      </c>
      <c r="R13" s="451">
        <v>0</v>
      </c>
      <c r="S13" s="451">
        <v>0</v>
      </c>
      <c r="T13" s="451">
        <v>405864.67262309865</v>
      </c>
      <c r="U13" s="451">
        <v>0</v>
      </c>
      <c r="V13" s="451">
        <v>424343.33788096317</v>
      </c>
      <c r="W13" s="451">
        <v>440786.11</v>
      </c>
      <c r="X13" s="451">
        <v>0</v>
      </c>
      <c r="Y13" s="451"/>
      <c r="Z13" s="451"/>
      <c r="AA13" s="456"/>
      <c r="AB13" s="451">
        <v>440786.11</v>
      </c>
      <c r="AC13" s="451">
        <v>-16442.772119036817</v>
      </c>
      <c r="AD13" s="451">
        <v>0</v>
      </c>
      <c r="AE13" s="457">
        <v>-16442.772119036817</v>
      </c>
      <c r="AF13" s="451">
        <v>-34921.43737690134</v>
      </c>
      <c r="AG13" s="451">
        <v>18478.665257864523</v>
      </c>
      <c r="AH13" s="451">
        <v>0</v>
      </c>
      <c r="AI13" s="451">
        <v>0</v>
      </c>
      <c r="AJ13" s="451">
        <v>0</v>
      </c>
      <c r="AK13" s="462"/>
      <c r="AL13" s="453" t="s">
        <v>103</v>
      </c>
      <c r="AM13" s="451">
        <v>-16442.772119036817</v>
      </c>
      <c r="AN13" s="453" t="s">
        <v>103</v>
      </c>
      <c r="AO13" s="453">
        <v>19</v>
      </c>
      <c r="AP13" s="453">
        <v>20</v>
      </c>
      <c r="AQ13" s="458">
        <v>-4.0512942436619015E-2</v>
      </c>
      <c r="AS13" s="459" t="s">
        <v>104</v>
      </c>
      <c r="AT13" s="453" t="s">
        <v>104</v>
      </c>
      <c r="AU13" s="464" t="s">
        <v>112</v>
      </c>
      <c r="AV13" s="460" t="s">
        <v>36</v>
      </c>
      <c r="AW13" s="453" t="s">
        <v>1430</v>
      </c>
      <c r="BA13" s="464" t="str">
        <f>_xlfn.XLOOKUP(B13,'School List from APT'!A:A,'School List from APT'!C:C,"",FALSE)</f>
        <v/>
      </c>
    </row>
    <row r="14" spans="1:53" x14ac:dyDescent="0.25">
      <c r="A14" s="453" t="s">
        <v>114</v>
      </c>
      <c r="B14" s="453">
        <v>1002</v>
      </c>
      <c r="C14" s="453">
        <v>1002</v>
      </c>
      <c r="D14" s="453" t="s">
        <v>115</v>
      </c>
      <c r="F14" s="454" t="s">
        <v>102</v>
      </c>
      <c r="G14" s="454" t="s">
        <v>36</v>
      </c>
      <c r="H14" s="451">
        <v>-57143.288258257904</v>
      </c>
      <c r="I14" s="451">
        <v>0</v>
      </c>
      <c r="J14" s="455">
        <v>-57143.288258257904</v>
      </c>
      <c r="K14" s="451">
        <v>654690.95363616443</v>
      </c>
      <c r="L14" s="451">
        <v>24463</v>
      </c>
      <c r="M14" s="451">
        <v>-23177.671374045894</v>
      </c>
      <c r="N14" s="451">
        <v>655976.28226211853</v>
      </c>
      <c r="O14" s="451">
        <v>11100</v>
      </c>
      <c r="P14" s="451">
        <v>0</v>
      </c>
      <c r="Q14" s="451">
        <v>0</v>
      </c>
      <c r="R14" s="451">
        <v>0</v>
      </c>
      <c r="S14" s="451">
        <v>11100</v>
      </c>
      <c r="T14" s="451">
        <v>667076.28226211853</v>
      </c>
      <c r="U14" s="451">
        <v>0</v>
      </c>
      <c r="V14" s="451">
        <v>609932.99400386063</v>
      </c>
      <c r="W14" s="451">
        <v>586388.78</v>
      </c>
      <c r="X14" s="451">
        <v>-7890</v>
      </c>
      <c r="Y14" s="451"/>
      <c r="Z14" s="451"/>
      <c r="AA14" s="456"/>
      <c r="AB14" s="451">
        <v>578498.78</v>
      </c>
      <c r="AC14" s="451">
        <v>31434.214003860601</v>
      </c>
      <c r="AD14" s="451">
        <v>0</v>
      </c>
      <c r="AE14" s="457">
        <v>31434.214003860601</v>
      </c>
      <c r="AF14" s="451">
        <v>88577.502262118505</v>
      </c>
      <c r="AG14" s="451">
        <v>-57143.288258257904</v>
      </c>
      <c r="AH14" s="451">
        <v>0</v>
      </c>
      <c r="AI14" s="451">
        <v>0</v>
      </c>
      <c r="AJ14" s="451">
        <v>0</v>
      </c>
      <c r="AK14" s="462"/>
      <c r="AL14" s="453" t="s">
        <v>108</v>
      </c>
      <c r="AM14" s="451">
        <v>31434.214003860601</v>
      </c>
      <c r="AN14" s="453" t="s">
        <v>108</v>
      </c>
      <c r="AO14" s="453">
        <v>15</v>
      </c>
      <c r="AP14" s="453">
        <v>15</v>
      </c>
      <c r="AQ14" s="458">
        <v>4.7122367920598554E-2</v>
      </c>
      <c r="AS14" s="459" t="s">
        <v>104</v>
      </c>
      <c r="AT14" s="453" t="s">
        <v>104</v>
      </c>
      <c r="AU14" s="464" t="s">
        <v>114</v>
      </c>
      <c r="AV14" s="460" t="s">
        <v>36</v>
      </c>
      <c r="AW14" s="453" t="s">
        <v>1430</v>
      </c>
      <c r="BA14" s="464" t="str">
        <f>_xlfn.XLOOKUP(B14,'School List from APT'!A:A,'School List from APT'!C:C,"",FALSE)</f>
        <v/>
      </c>
    </row>
    <row r="15" spans="1:53" x14ac:dyDescent="0.25">
      <c r="A15" s="453" t="s">
        <v>116</v>
      </c>
      <c r="B15" s="453">
        <v>1048</v>
      </c>
      <c r="C15" s="453">
        <v>1048</v>
      </c>
      <c r="D15" s="453" t="s">
        <v>117</v>
      </c>
      <c r="F15" s="454" t="s">
        <v>102</v>
      </c>
      <c r="G15" s="454" t="s">
        <v>36</v>
      </c>
      <c r="H15" s="451">
        <v>316863.29584559589</v>
      </c>
      <c r="I15" s="451">
        <v>0</v>
      </c>
      <c r="J15" s="455">
        <v>316863.29584559589</v>
      </c>
      <c r="K15" s="451">
        <v>760853.8437993679</v>
      </c>
      <c r="L15" s="451">
        <v>26983</v>
      </c>
      <c r="M15" s="451">
        <v>-25733.476551724132</v>
      </c>
      <c r="N15" s="451">
        <v>762103.36724764376</v>
      </c>
      <c r="O15" s="451">
        <v>33042.583333333328</v>
      </c>
      <c r="P15" s="451">
        <v>0</v>
      </c>
      <c r="Q15" s="451">
        <v>0</v>
      </c>
      <c r="R15" s="451">
        <v>0</v>
      </c>
      <c r="S15" s="451">
        <v>33042.583333333328</v>
      </c>
      <c r="T15" s="451">
        <v>795145.95058097714</v>
      </c>
      <c r="U15" s="451">
        <v>0</v>
      </c>
      <c r="V15" s="451">
        <v>1112009.246426573</v>
      </c>
      <c r="W15" s="451">
        <v>784799.79</v>
      </c>
      <c r="X15" s="451">
        <v>0</v>
      </c>
      <c r="Y15" s="451"/>
      <c r="Z15" s="451"/>
      <c r="AA15" s="456"/>
      <c r="AB15" s="451">
        <v>784799.79</v>
      </c>
      <c r="AC15" s="451">
        <v>327209.45642657299</v>
      </c>
      <c r="AD15" s="451">
        <v>443.60861418383422</v>
      </c>
      <c r="AE15" s="457">
        <v>327653.06504075683</v>
      </c>
      <c r="AF15" s="451">
        <v>10789.769195160945</v>
      </c>
      <c r="AG15" s="451">
        <v>316863.29584559589</v>
      </c>
      <c r="AH15" s="451">
        <v>316863.29584559589</v>
      </c>
      <c r="AI15" s="451">
        <v>38105.168362382188</v>
      </c>
      <c r="AJ15" s="451">
        <v>443.60861418383422</v>
      </c>
      <c r="AK15" s="462"/>
      <c r="AL15" s="453" t="s">
        <v>108</v>
      </c>
      <c r="AM15" s="451">
        <v>327653.06504075683</v>
      </c>
      <c r="AN15" s="453" t="s">
        <v>108</v>
      </c>
      <c r="AO15" s="453">
        <v>3</v>
      </c>
      <c r="AP15" s="453">
        <v>4</v>
      </c>
      <c r="AQ15" s="458">
        <v>0.41206657067341607</v>
      </c>
      <c r="AS15" s="459" t="s">
        <v>104</v>
      </c>
      <c r="AT15" s="453" t="s">
        <v>104</v>
      </c>
      <c r="AU15" s="464" t="s">
        <v>116</v>
      </c>
      <c r="AV15" s="460" t="s">
        <v>36</v>
      </c>
      <c r="AW15" s="453" t="s">
        <v>1430</v>
      </c>
      <c r="BA15" s="464" t="str">
        <f>_xlfn.XLOOKUP(B15,'School List from APT'!A:A,'School List from APT'!C:C,"",FALSE)</f>
        <v/>
      </c>
    </row>
    <row r="16" spans="1:53" x14ac:dyDescent="0.25">
      <c r="A16" s="453" t="s">
        <v>118</v>
      </c>
      <c r="B16" s="453">
        <v>1026</v>
      </c>
      <c r="C16" s="453">
        <v>1026</v>
      </c>
      <c r="D16" s="453" t="s">
        <v>119</v>
      </c>
      <c r="F16" s="454" t="s">
        <v>102</v>
      </c>
      <c r="G16" s="454" t="s">
        <v>36</v>
      </c>
      <c r="H16" s="451">
        <v>29913.966843307495</v>
      </c>
      <c r="I16" s="451">
        <v>0</v>
      </c>
      <c r="J16" s="455">
        <v>29913.966843307495</v>
      </c>
      <c r="K16" s="451">
        <v>401188.18413098378</v>
      </c>
      <c r="L16" s="451">
        <v>17988</v>
      </c>
      <c r="M16" s="451">
        <v>2926.521999999939</v>
      </c>
      <c r="N16" s="451">
        <v>422102.70613098372</v>
      </c>
      <c r="O16" s="451">
        <v>0</v>
      </c>
      <c r="P16" s="451">
        <v>0</v>
      </c>
      <c r="Q16" s="451">
        <v>0</v>
      </c>
      <c r="R16" s="451">
        <v>0</v>
      </c>
      <c r="S16" s="451">
        <v>0</v>
      </c>
      <c r="T16" s="451">
        <v>422102.70613098372</v>
      </c>
      <c r="U16" s="451">
        <v>0</v>
      </c>
      <c r="V16" s="451">
        <v>452016.6729742912</v>
      </c>
      <c r="W16" s="451">
        <v>232768.02</v>
      </c>
      <c r="X16" s="451">
        <v>-3950.92</v>
      </c>
      <c r="Y16" s="451"/>
      <c r="Z16" s="451"/>
      <c r="AA16" s="456"/>
      <c r="AB16" s="451">
        <v>228817.09999999998</v>
      </c>
      <c r="AC16" s="451">
        <v>223199.57297429122</v>
      </c>
      <c r="AD16" s="451">
        <v>41.879553580630493</v>
      </c>
      <c r="AE16" s="457">
        <v>223241.45252787185</v>
      </c>
      <c r="AF16" s="451">
        <v>193327.48568456437</v>
      </c>
      <c r="AG16" s="451">
        <v>29913.966843307495</v>
      </c>
      <c r="AH16" s="451">
        <v>29913.966843307495</v>
      </c>
      <c r="AI16" s="451">
        <v>21105.135306549186</v>
      </c>
      <c r="AJ16" s="451">
        <v>41.879553580630493</v>
      </c>
      <c r="AK16" s="462"/>
      <c r="AL16" s="453" t="s">
        <v>108</v>
      </c>
      <c r="AM16" s="451">
        <v>223241.45252787185</v>
      </c>
      <c r="AN16" s="453" t="s">
        <v>108</v>
      </c>
      <c r="AO16" s="453">
        <v>5</v>
      </c>
      <c r="AP16" s="453">
        <v>3</v>
      </c>
      <c r="AQ16" s="458">
        <v>0.52887946294899435</v>
      </c>
      <c r="AS16" s="459" t="s">
        <v>104</v>
      </c>
      <c r="AT16" s="453" t="s">
        <v>104</v>
      </c>
      <c r="AU16" s="464" t="s">
        <v>118</v>
      </c>
      <c r="AV16" s="460" t="s">
        <v>36</v>
      </c>
      <c r="AW16" s="453" t="s">
        <v>1430</v>
      </c>
      <c r="BA16" s="464" t="str">
        <f>_xlfn.XLOOKUP(B16,'School List from APT'!A:A,'School List from APT'!C:C,"",FALSE)</f>
        <v/>
      </c>
    </row>
    <row r="17" spans="1:53" x14ac:dyDescent="0.25">
      <c r="A17" s="453" t="s">
        <v>120</v>
      </c>
      <c r="B17" s="453">
        <v>1006</v>
      </c>
      <c r="C17" s="453">
        <v>1006</v>
      </c>
      <c r="D17" s="453" t="s">
        <v>121</v>
      </c>
      <c r="F17" s="454" t="s">
        <v>102</v>
      </c>
      <c r="G17" s="454" t="s">
        <v>36</v>
      </c>
      <c r="H17" s="451">
        <v>83296.163718750424</v>
      </c>
      <c r="I17" s="451">
        <v>0</v>
      </c>
      <c r="J17" s="455">
        <v>83296.163718750424</v>
      </c>
      <c r="K17" s="451">
        <v>488861.61043740774</v>
      </c>
      <c r="L17" s="451">
        <v>17988</v>
      </c>
      <c r="M17" s="451">
        <v>-796.35000000003492</v>
      </c>
      <c r="N17" s="451">
        <v>506053.26043740771</v>
      </c>
      <c r="O17" s="451">
        <v>77721.166666666672</v>
      </c>
      <c r="P17" s="451">
        <v>0</v>
      </c>
      <c r="Q17" s="451">
        <v>0</v>
      </c>
      <c r="R17" s="451">
        <v>0</v>
      </c>
      <c r="S17" s="451">
        <v>77721.166666666672</v>
      </c>
      <c r="T17" s="451">
        <v>583774.42710407439</v>
      </c>
      <c r="U17" s="451">
        <v>0</v>
      </c>
      <c r="V17" s="451">
        <v>667070.59082282486</v>
      </c>
      <c r="W17" s="451">
        <v>491231.46</v>
      </c>
      <c r="X17" s="451">
        <v>-7443.16</v>
      </c>
      <c r="Y17" s="451"/>
      <c r="Z17" s="451"/>
      <c r="AA17" s="456"/>
      <c r="AB17" s="451">
        <v>483788.30000000005</v>
      </c>
      <c r="AC17" s="451">
        <v>183282.29082282481</v>
      </c>
      <c r="AD17" s="451">
        <v>116.61462920625058</v>
      </c>
      <c r="AE17" s="457">
        <v>183398.90545203106</v>
      </c>
      <c r="AF17" s="451">
        <v>100102.74173328064</v>
      </c>
      <c r="AG17" s="451">
        <v>83296.163718750424</v>
      </c>
      <c r="AH17" s="451">
        <v>83296.163718750424</v>
      </c>
      <c r="AI17" s="451">
        <v>25302.663021870387</v>
      </c>
      <c r="AJ17" s="451">
        <v>116.61462920625058</v>
      </c>
      <c r="AK17" s="462"/>
      <c r="AL17" s="453" t="s">
        <v>108</v>
      </c>
      <c r="AM17" s="451">
        <v>183398.90545203106</v>
      </c>
      <c r="AN17" s="453" t="s">
        <v>108</v>
      </c>
      <c r="AO17" s="453">
        <v>6</v>
      </c>
      <c r="AP17" s="453">
        <v>8</v>
      </c>
      <c r="AQ17" s="458">
        <v>0.31416056774157902</v>
      </c>
      <c r="AS17" s="459" t="s">
        <v>104</v>
      </c>
      <c r="AT17" s="453" t="s">
        <v>104</v>
      </c>
      <c r="AU17" s="464" t="s">
        <v>120</v>
      </c>
      <c r="AV17" s="460" t="s">
        <v>36</v>
      </c>
      <c r="AW17" s="453" t="s">
        <v>1430</v>
      </c>
      <c r="BA17" s="464" t="str">
        <f>_xlfn.XLOOKUP(B17,'School List from APT'!A:A,'School List from APT'!C:C,"",FALSE)</f>
        <v/>
      </c>
    </row>
    <row r="18" spans="1:53" x14ac:dyDescent="0.25">
      <c r="A18" s="453" t="s">
        <v>122</v>
      </c>
      <c r="B18" s="453">
        <v>1015</v>
      </c>
      <c r="C18" s="453">
        <v>1015</v>
      </c>
      <c r="D18" s="453" t="s">
        <v>123</v>
      </c>
      <c r="F18" s="454" t="s">
        <v>102</v>
      </c>
      <c r="G18" s="454" t="s">
        <v>36</v>
      </c>
      <c r="H18" s="451">
        <v>69717.625318660706</v>
      </c>
      <c r="I18" s="451">
        <v>0</v>
      </c>
      <c r="J18" s="455">
        <v>69717.625318660706</v>
      </c>
      <c r="K18" s="451">
        <v>505426.06480128446</v>
      </c>
      <c r="L18" s="451">
        <v>17988</v>
      </c>
      <c r="M18" s="451">
        <v>-8228.1137234042399</v>
      </c>
      <c r="N18" s="451">
        <v>515185.95107788022</v>
      </c>
      <c r="O18" s="451">
        <v>2819.166666666667</v>
      </c>
      <c r="P18" s="451">
        <v>0</v>
      </c>
      <c r="Q18" s="451">
        <v>0</v>
      </c>
      <c r="R18" s="451">
        <v>0</v>
      </c>
      <c r="S18" s="451">
        <v>2819.166666666667</v>
      </c>
      <c r="T18" s="451">
        <v>518005.11774454691</v>
      </c>
      <c r="U18" s="451">
        <v>0</v>
      </c>
      <c r="V18" s="451">
        <v>587722.7430632076</v>
      </c>
      <c r="W18" s="451">
        <v>483844.45</v>
      </c>
      <c r="X18" s="451">
        <v>-1540</v>
      </c>
      <c r="Y18" s="451"/>
      <c r="Z18" s="451"/>
      <c r="AA18" s="456"/>
      <c r="AB18" s="451">
        <v>482304.45</v>
      </c>
      <c r="AC18" s="451">
        <v>105418.29306320759</v>
      </c>
      <c r="AD18" s="451">
        <v>97.604675446124986</v>
      </c>
      <c r="AE18" s="457">
        <v>105515.89773865372</v>
      </c>
      <c r="AF18" s="451">
        <v>35798.272419993009</v>
      </c>
      <c r="AG18" s="451">
        <v>69717.625318660706</v>
      </c>
      <c r="AH18" s="451">
        <v>69717.625318660706</v>
      </c>
      <c r="AI18" s="451">
        <v>25759.297553894012</v>
      </c>
      <c r="AJ18" s="451">
        <v>97.604675446124986</v>
      </c>
      <c r="AK18" s="462"/>
      <c r="AL18" s="453" t="s">
        <v>108</v>
      </c>
      <c r="AM18" s="451">
        <v>105515.89773865372</v>
      </c>
      <c r="AN18" s="453" t="s">
        <v>108</v>
      </c>
      <c r="AO18" s="453">
        <v>12</v>
      </c>
      <c r="AP18" s="453">
        <v>10</v>
      </c>
      <c r="AQ18" s="458">
        <v>0.20369663179792877</v>
      </c>
      <c r="AS18" s="459" t="s">
        <v>104</v>
      </c>
      <c r="AT18" s="453" t="s">
        <v>104</v>
      </c>
      <c r="AU18" s="464" t="s">
        <v>122</v>
      </c>
      <c r="AV18" s="460" t="s">
        <v>36</v>
      </c>
      <c r="AW18" s="453" t="s">
        <v>1430</v>
      </c>
      <c r="BA18" s="464" t="str">
        <f>_xlfn.XLOOKUP(B18,'School List from APT'!A:A,'School List from APT'!C:C,"",FALSE)</f>
        <v/>
      </c>
    </row>
    <row r="19" spans="1:53" x14ac:dyDescent="0.25">
      <c r="A19" s="453" t="s">
        <v>124</v>
      </c>
      <c r="B19" s="453">
        <v>1022</v>
      </c>
      <c r="C19" s="453">
        <v>1022</v>
      </c>
      <c r="D19" s="453" t="s">
        <v>125</v>
      </c>
      <c r="F19" s="454" t="s">
        <v>102</v>
      </c>
      <c r="G19" s="454" t="s">
        <v>36</v>
      </c>
      <c r="H19" s="451">
        <v>-20022.375636009965</v>
      </c>
      <c r="I19" s="451">
        <v>0</v>
      </c>
      <c r="J19" s="455">
        <v>-20022.375636009965</v>
      </c>
      <c r="K19" s="451">
        <v>416863.71834941866</v>
      </c>
      <c r="L19" s="451">
        <v>17988</v>
      </c>
      <c r="M19" s="451">
        <v>-20150.148749999993</v>
      </c>
      <c r="N19" s="451">
        <v>414701.56959941867</v>
      </c>
      <c r="O19" s="451">
        <v>0</v>
      </c>
      <c r="P19" s="451">
        <v>0</v>
      </c>
      <c r="Q19" s="451">
        <v>0</v>
      </c>
      <c r="R19" s="451">
        <v>0</v>
      </c>
      <c r="S19" s="451">
        <v>0</v>
      </c>
      <c r="T19" s="451">
        <v>414701.56959941867</v>
      </c>
      <c r="U19" s="451">
        <v>0</v>
      </c>
      <c r="V19" s="451">
        <v>394679.1939634087</v>
      </c>
      <c r="W19" s="451">
        <v>378182.49</v>
      </c>
      <c r="X19" s="451">
        <v>0</v>
      </c>
      <c r="Y19" s="451"/>
      <c r="Z19" s="451"/>
      <c r="AA19" s="456"/>
      <c r="AB19" s="451">
        <v>378182.49</v>
      </c>
      <c r="AC19" s="451">
        <v>16496.703963408712</v>
      </c>
      <c r="AD19" s="451">
        <v>0</v>
      </c>
      <c r="AE19" s="457">
        <v>16496.703963408712</v>
      </c>
      <c r="AF19" s="451">
        <v>36519.079599418677</v>
      </c>
      <c r="AG19" s="451">
        <v>-20022.375636009965</v>
      </c>
      <c r="AH19" s="451">
        <v>0</v>
      </c>
      <c r="AI19" s="451">
        <v>0</v>
      </c>
      <c r="AJ19" s="451">
        <v>0</v>
      </c>
      <c r="AK19" s="462"/>
      <c r="AL19" s="453" t="s">
        <v>108</v>
      </c>
      <c r="AM19" s="451">
        <v>16496.703963408712</v>
      </c>
      <c r="AN19" s="453" t="s">
        <v>108</v>
      </c>
      <c r="AO19" s="453">
        <v>17</v>
      </c>
      <c r="AP19" s="453">
        <v>17</v>
      </c>
      <c r="AQ19" s="458">
        <v>3.9779699843778542E-2</v>
      </c>
      <c r="AS19" s="459" t="s">
        <v>104</v>
      </c>
      <c r="AT19" s="453" t="s">
        <v>104</v>
      </c>
      <c r="AU19" s="464" t="s">
        <v>124</v>
      </c>
      <c r="AV19" s="460" t="s">
        <v>36</v>
      </c>
      <c r="AW19" s="453" t="s">
        <v>1430</v>
      </c>
      <c r="BA19" s="464" t="str">
        <f>_xlfn.XLOOKUP(B19,'School List from APT'!A:A,'School List from APT'!C:C,"",FALSE)</f>
        <v/>
      </c>
    </row>
    <row r="20" spans="1:53" x14ac:dyDescent="0.25">
      <c r="A20" s="453" t="s">
        <v>126</v>
      </c>
      <c r="B20" s="453">
        <v>1010</v>
      </c>
      <c r="C20" s="453">
        <v>1010</v>
      </c>
      <c r="D20" s="453" t="s">
        <v>127</v>
      </c>
      <c r="F20" s="454" t="s">
        <v>102</v>
      </c>
      <c r="G20" s="454" t="s">
        <v>36</v>
      </c>
      <c r="H20" s="451">
        <v>466752.22565222508</v>
      </c>
      <c r="I20" s="451">
        <v>0</v>
      </c>
      <c r="J20" s="455">
        <v>466752.22565222508</v>
      </c>
      <c r="K20" s="451">
        <v>689138.93457419914</v>
      </c>
      <c r="L20" s="451">
        <v>28601</v>
      </c>
      <c r="M20" s="451">
        <v>-28184.035849056556</v>
      </c>
      <c r="N20" s="451">
        <v>689555.89872514259</v>
      </c>
      <c r="O20" s="451">
        <v>4675.11625</v>
      </c>
      <c r="P20" s="451">
        <v>0</v>
      </c>
      <c r="Q20" s="451">
        <v>0</v>
      </c>
      <c r="R20" s="451">
        <v>0</v>
      </c>
      <c r="S20" s="451">
        <v>4675.11625</v>
      </c>
      <c r="T20" s="451">
        <v>694231.01497514255</v>
      </c>
      <c r="U20" s="451">
        <v>0</v>
      </c>
      <c r="V20" s="451">
        <v>1160983.2406273675</v>
      </c>
      <c r="W20" s="451">
        <v>624467.78</v>
      </c>
      <c r="X20" s="451">
        <v>-2132.4</v>
      </c>
      <c r="Y20" s="451"/>
      <c r="Z20" s="451"/>
      <c r="AA20" s="456"/>
      <c r="AB20" s="451">
        <v>622335.38</v>
      </c>
      <c r="AC20" s="451">
        <v>538647.86062736751</v>
      </c>
      <c r="AD20" s="451">
        <v>653.4531159131152</v>
      </c>
      <c r="AE20" s="457">
        <v>539301.3137432806</v>
      </c>
      <c r="AF20" s="451">
        <v>72549.088091055513</v>
      </c>
      <c r="AG20" s="451">
        <v>466752.22565222508</v>
      </c>
      <c r="AH20" s="451">
        <v>466752.22565222508</v>
      </c>
      <c r="AI20" s="451">
        <v>34477.794936257131</v>
      </c>
      <c r="AJ20" s="451">
        <v>653.4531159131152</v>
      </c>
      <c r="AK20" s="462"/>
      <c r="AL20" s="453" t="s">
        <v>108</v>
      </c>
      <c r="AM20" s="451">
        <v>539301.3137432806</v>
      </c>
      <c r="AN20" s="453" t="s">
        <v>108</v>
      </c>
      <c r="AO20" s="453">
        <v>1</v>
      </c>
      <c r="AP20" s="453">
        <v>1</v>
      </c>
      <c r="AQ20" s="458">
        <v>0.7768326423194889</v>
      </c>
      <c r="AS20" s="459" t="s">
        <v>104</v>
      </c>
      <c r="AT20" s="453" t="s">
        <v>104</v>
      </c>
      <c r="AU20" s="464" t="s">
        <v>126</v>
      </c>
      <c r="AV20" s="460" t="s">
        <v>36</v>
      </c>
      <c r="AW20" s="453" t="s">
        <v>1430</v>
      </c>
      <c r="BA20" s="464" t="str">
        <f>_xlfn.XLOOKUP(B20,'School List from APT'!A:A,'School List from APT'!C:C,"",FALSE)</f>
        <v/>
      </c>
    </row>
    <row r="21" spans="1:53" x14ac:dyDescent="0.25">
      <c r="A21" s="453" t="s">
        <v>128</v>
      </c>
      <c r="B21" s="453">
        <v>1021</v>
      </c>
      <c r="C21" s="453">
        <v>1021</v>
      </c>
      <c r="D21" s="453" t="s">
        <v>129</v>
      </c>
      <c r="F21" s="454" t="s">
        <v>102</v>
      </c>
      <c r="G21" s="454" t="s">
        <v>36</v>
      </c>
      <c r="H21" s="451">
        <v>22587.209495520136</v>
      </c>
      <c r="I21" s="451">
        <v>0</v>
      </c>
      <c r="J21" s="455">
        <v>22587.209495520136</v>
      </c>
      <c r="K21" s="451">
        <v>271169.23440332693</v>
      </c>
      <c r="L21" s="451">
        <v>17988</v>
      </c>
      <c r="M21" s="451">
        <v>-13012.913207547128</v>
      </c>
      <c r="N21" s="451">
        <v>276144.32119577983</v>
      </c>
      <c r="O21" s="451">
        <v>4000</v>
      </c>
      <c r="P21" s="451">
        <v>0</v>
      </c>
      <c r="Q21" s="451">
        <v>0</v>
      </c>
      <c r="R21" s="451">
        <v>0</v>
      </c>
      <c r="S21" s="451">
        <v>4000</v>
      </c>
      <c r="T21" s="451">
        <v>280144.32119577983</v>
      </c>
      <c r="U21" s="451">
        <v>0</v>
      </c>
      <c r="V21" s="451">
        <v>302731.53069129999</v>
      </c>
      <c r="W21" s="451">
        <v>259592.63</v>
      </c>
      <c r="X21" s="451">
        <v>0</v>
      </c>
      <c r="Y21" s="451"/>
      <c r="Z21" s="451"/>
      <c r="AA21" s="456"/>
      <c r="AB21" s="451">
        <v>259592.63</v>
      </c>
      <c r="AC21" s="451">
        <v>43138.90069129999</v>
      </c>
      <c r="AD21" s="451">
        <v>31.622093293728192</v>
      </c>
      <c r="AE21" s="457">
        <v>43170.522784593719</v>
      </c>
      <c r="AF21" s="451">
        <v>20583.313289073583</v>
      </c>
      <c r="AG21" s="451">
        <v>22587.209495520136</v>
      </c>
      <c r="AH21" s="451">
        <v>22587.209495520136</v>
      </c>
      <c r="AI21" s="451">
        <v>13807.216059788992</v>
      </c>
      <c r="AJ21" s="451">
        <v>31.622093293728192</v>
      </c>
      <c r="AK21" s="462"/>
      <c r="AL21" s="453" t="s">
        <v>108</v>
      </c>
      <c r="AM21" s="451">
        <v>43170.522784593719</v>
      </c>
      <c r="AN21" s="453" t="s">
        <v>108</v>
      </c>
      <c r="AO21" s="453">
        <v>14</v>
      </c>
      <c r="AP21" s="453">
        <v>13</v>
      </c>
      <c r="AQ21" s="458">
        <v>0.15410100979496152</v>
      </c>
      <c r="AS21" s="459" t="s">
        <v>104</v>
      </c>
      <c r="AT21" s="453" t="s">
        <v>104</v>
      </c>
      <c r="AU21" s="464" t="s">
        <v>128</v>
      </c>
      <c r="AV21" s="460" t="s">
        <v>36</v>
      </c>
      <c r="AW21" s="453" t="s">
        <v>1430</v>
      </c>
      <c r="BA21" s="464" t="str">
        <f>_xlfn.XLOOKUP(B21,'School List from APT'!A:A,'School List from APT'!C:C,"",FALSE)</f>
        <v/>
      </c>
    </row>
    <row r="22" spans="1:53" x14ac:dyDescent="0.25">
      <c r="A22" s="453" t="s">
        <v>130</v>
      </c>
      <c r="B22" s="453">
        <v>1023</v>
      </c>
      <c r="C22" s="453">
        <v>1023</v>
      </c>
      <c r="D22" s="453" t="s">
        <v>131</v>
      </c>
      <c r="F22" s="454" t="s">
        <v>102</v>
      </c>
      <c r="G22" s="454" t="s">
        <v>36</v>
      </c>
      <c r="H22" s="451">
        <v>-86964.962450145744</v>
      </c>
      <c r="I22" s="451">
        <v>0</v>
      </c>
      <c r="J22" s="455">
        <v>-86964.962450145744</v>
      </c>
      <c r="K22" s="451">
        <v>391522.61700675054</v>
      </c>
      <c r="L22" s="451">
        <v>17988</v>
      </c>
      <c r="M22" s="451">
        <v>16033.810243902437</v>
      </c>
      <c r="N22" s="451">
        <v>425544.42725065298</v>
      </c>
      <c r="O22" s="451">
        <v>42539.414166666662</v>
      </c>
      <c r="P22" s="451">
        <v>0</v>
      </c>
      <c r="Q22" s="451">
        <v>0</v>
      </c>
      <c r="R22" s="451">
        <v>0</v>
      </c>
      <c r="S22" s="451">
        <v>42539.414166666662</v>
      </c>
      <c r="T22" s="451">
        <v>468083.84141731967</v>
      </c>
      <c r="U22" s="451">
        <v>0</v>
      </c>
      <c r="V22" s="451">
        <v>381118.87896717392</v>
      </c>
      <c r="W22" s="451">
        <v>413950.91</v>
      </c>
      <c r="X22" s="451">
        <v>-2689.45</v>
      </c>
      <c r="Y22" s="451"/>
      <c r="Z22" s="451"/>
      <c r="AA22" s="456"/>
      <c r="AB22" s="451">
        <v>411261.45999999996</v>
      </c>
      <c r="AC22" s="451">
        <v>-30142.581032826041</v>
      </c>
      <c r="AD22" s="451">
        <v>0</v>
      </c>
      <c r="AE22" s="457">
        <v>-30142.581032826041</v>
      </c>
      <c r="AF22" s="451">
        <v>56822.381417319702</v>
      </c>
      <c r="AG22" s="451">
        <v>-86964.962450145744</v>
      </c>
      <c r="AH22" s="451">
        <v>0</v>
      </c>
      <c r="AI22" s="451">
        <v>0</v>
      </c>
      <c r="AJ22" s="451">
        <v>0</v>
      </c>
      <c r="AK22" s="462"/>
      <c r="AL22" s="453" t="s">
        <v>103</v>
      </c>
      <c r="AM22" s="451">
        <v>-30142.581032826041</v>
      </c>
      <c r="AN22" s="453" t="s">
        <v>103</v>
      </c>
      <c r="AO22" s="453">
        <v>21</v>
      </c>
      <c r="AP22" s="453">
        <v>22</v>
      </c>
      <c r="AQ22" s="458">
        <v>-6.4395688049296393E-2</v>
      </c>
      <c r="AS22" s="459" t="s">
        <v>104</v>
      </c>
      <c r="AT22" s="453" t="s">
        <v>104</v>
      </c>
      <c r="AU22" s="464" t="s">
        <v>130</v>
      </c>
      <c r="AV22" s="460" t="s">
        <v>36</v>
      </c>
      <c r="AW22" s="453" t="s">
        <v>1430</v>
      </c>
      <c r="BA22" s="464" t="str">
        <f>_xlfn.XLOOKUP(B22,'School List from APT'!A:A,'School List from APT'!C:C,"",FALSE)</f>
        <v/>
      </c>
    </row>
    <row r="23" spans="1:53" x14ac:dyDescent="0.25">
      <c r="A23" s="453" t="s">
        <v>132</v>
      </c>
      <c r="B23" s="453">
        <v>1016</v>
      </c>
      <c r="C23" s="453">
        <v>1016</v>
      </c>
      <c r="D23" s="453" t="s">
        <v>133</v>
      </c>
      <c r="F23" s="454" t="s">
        <v>102</v>
      </c>
      <c r="G23" s="454" t="s">
        <v>36</v>
      </c>
      <c r="H23" s="451">
        <v>60250.805357529869</v>
      </c>
      <c r="I23" s="451">
        <v>0</v>
      </c>
      <c r="J23" s="455">
        <v>60250.805357529869</v>
      </c>
      <c r="K23" s="451">
        <v>474178.56677077617</v>
      </c>
      <c r="L23" s="451">
        <v>17988</v>
      </c>
      <c r="M23" s="451">
        <v>-12767.251578947471</v>
      </c>
      <c r="N23" s="451">
        <v>479399.3151918287</v>
      </c>
      <c r="O23" s="451">
        <v>16620</v>
      </c>
      <c r="P23" s="451">
        <v>0</v>
      </c>
      <c r="Q23" s="451">
        <v>0</v>
      </c>
      <c r="R23" s="451">
        <v>0</v>
      </c>
      <c r="S23" s="451">
        <v>16620</v>
      </c>
      <c r="T23" s="451">
        <v>496019.3151918287</v>
      </c>
      <c r="U23" s="451">
        <v>0</v>
      </c>
      <c r="V23" s="451">
        <v>556270.12054935854</v>
      </c>
      <c r="W23" s="451">
        <v>503547.31</v>
      </c>
      <c r="X23" s="451">
        <v>-2385.2399999999998</v>
      </c>
      <c r="Y23" s="451"/>
      <c r="Z23" s="451"/>
      <c r="AA23" s="456"/>
      <c r="AB23" s="451">
        <v>501162.07</v>
      </c>
      <c r="AC23" s="451">
        <v>55108.050549358537</v>
      </c>
      <c r="AD23" s="451">
        <v>77.151270769101956</v>
      </c>
      <c r="AE23" s="457">
        <v>55185.201820127637</v>
      </c>
      <c r="AF23" s="451">
        <v>-5065.6035374022322</v>
      </c>
      <c r="AG23" s="451">
        <v>60250.805357529869</v>
      </c>
      <c r="AH23" s="451">
        <v>55108.050549358537</v>
      </c>
      <c r="AI23" s="451">
        <v>23969.965759591436</v>
      </c>
      <c r="AJ23" s="451">
        <v>77.151270769101956</v>
      </c>
      <c r="AK23" s="462"/>
      <c r="AL23" s="453" t="s">
        <v>108</v>
      </c>
      <c r="AM23" s="451">
        <v>55185.201820127637</v>
      </c>
      <c r="AN23" s="453" t="s">
        <v>108</v>
      </c>
      <c r="AO23" s="453">
        <v>13</v>
      </c>
      <c r="AP23" s="453">
        <v>14</v>
      </c>
      <c r="AQ23" s="458">
        <v>0.11125615501240213</v>
      </c>
      <c r="AS23" s="459" t="s">
        <v>104</v>
      </c>
      <c r="AT23" s="453" t="s">
        <v>104</v>
      </c>
      <c r="AU23" s="464" t="s">
        <v>132</v>
      </c>
      <c r="AV23" s="460" t="s">
        <v>36</v>
      </c>
      <c r="AW23" s="453" t="s">
        <v>1430</v>
      </c>
      <c r="BA23" s="464" t="str">
        <f>_xlfn.XLOOKUP(B23,'School List from APT'!A:A,'School List from APT'!C:C,"",FALSE)</f>
        <v/>
      </c>
    </row>
    <row r="24" spans="1:53" x14ac:dyDescent="0.25">
      <c r="A24" s="453" t="s">
        <v>134</v>
      </c>
      <c r="B24" s="453">
        <v>1024</v>
      </c>
      <c r="C24" s="453">
        <v>1024</v>
      </c>
      <c r="D24" s="453" t="s">
        <v>135</v>
      </c>
      <c r="F24" s="454" t="s">
        <v>102</v>
      </c>
      <c r="G24" s="454" t="s">
        <v>36</v>
      </c>
      <c r="H24" s="451">
        <v>-106032.71715770429</v>
      </c>
      <c r="I24" s="451">
        <v>0</v>
      </c>
      <c r="J24" s="455">
        <v>-106032.71715770429</v>
      </c>
      <c r="K24" s="451">
        <v>502995.57084917545</v>
      </c>
      <c r="L24" s="451">
        <v>17988</v>
      </c>
      <c r="M24" s="451">
        <v>-21657.044387755217</v>
      </c>
      <c r="N24" s="451">
        <v>499326.52646142023</v>
      </c>
      <c r="O24" s="451">
        <v>11708.916666666668</v>
      </c>
      <c r="P24" s="451">
        <v>0</v>
      </c>
      <c r="Q24" s="451">
        <v>0</v>
      </c>
      <c r="R24" s="451">
        <v>0</v>
      </c>
      <c r="S24" s="451">
        <v>11708.916666666668</v>
      </c>
      <c r="T24" s="451">
        <v>511035.44312808692</v>
      </c>
      <c r="U24" s="451">
        <v>0</v>
      </c>
      <c r="V24" s="451">
        <v>405002.72597038263</v>
      </c>
      <c r="W24" s="451">
        <v>820280.13</v>
      </c>
      <c r="X24" s="451">
        <v>-1759</v>
      </c>
      <c r="Y24" s="451"/>
      <c r="Z24" s="451"/>
      <c r="AA24" s="456"/>
      <c r="AB24" s="451">
        <v>818521.13</v>
      </c>
      <c r="AC24" s="451">
        <v>-413518.40402961738</v>
      </c>
      <c r="AD24" s="451">
        <v>0</v>
      </c>
      <c r="AE24" s="457">
        <v>-413518.40402961738</v>
      </c>
      <c r="AF24" s="451">
        <v>-307485.68687191309</v>
      </c>
      <c r="AG24" s="451">
        <v>-106032.71715770429</v>
      </c>
      <c r="AH24" s="451">
        <v>0</v>
      </c>
      <c r="AI24" s="451">
        <v>0</v>
      </c>
      <c r="AJ24" s="451">
        <v>0</v>
      </c>
      <c r="AK24" s="462"/>
      <c r="AL24" s="453" t="s">
        <v>103</v>
      </c>
      <c r="AM24" s="451">
        <v>-413518.40402961738</v>
      </c>
      <c r="AN24" s="453" t="s">
        <v>103</v>
      </c>
      <c r="AO24" s="453">
        <v>25</v>
      </c>
      <c r="AP24" s="453">
        <v>26</v>
      </c>
      <c r="AQ24" s="458">
        <v>-0.80917754255642171</v>
      </c>
      <c r="AS24" s="459" t="s">
        <v>104</v>
      </c>
      <c r="AT24" s="453" t="s">
        <v>104</v>
      </c>
      <c r="AU24" s="464" t="s">
        <v>134</v>
      </c>
      <c r="AV24" s="460" t="s">
        <v>36</v>
      </c>
      <c r="AW24" s="453" t="s">
        <v>1430</v>
      </c>
      <c r="BA24" s="464" t="str">
        <f>_xlfn.XLOOKUP(B24,'School List from APT'!A:A,'School List from APT'!C:C,"",FALSE)</f>
        <v/>
      </c>
    </row>
    <row r="25" spans="1:53" x14ac:dyDescent="0.25">
      <c r="A25" s="453" t="s">
        <v>136</v>
      </c>
      <c r="B25" s="453">
        <v>1012</v>
      </c>
      <c r="C25" s="453">
        <v>1012</v>
      </c>
      <c r="D25" s="453" t="s">
        <v>137</v>
      </c>
      <c r="F25" s="454" t="s">
        <v>102</v>
      </c>
      <c r="G25" s="454" t="s">
        <v>36</v>
      </c>
      <c r="H25" s="451">
        <v>207113.77549112472</v>
      </c>
      <c r="I25" s="451">
        <v>0</v>
      </c>
      <c r="J25" s="455">
        <v>207113.77549112472</v>
      </c>
      <c r="K25" s="451">
        <v>559862.07629717502</v>
      </c>
      <c r="L25" s="451">
        <v>21809</v>
      </c>
      <c r="M25" s="451">
        <v>-42197.29919999995</v>
      </c>
      <c r="N25" s="451">
        <v>539473.77709717513</v>
      </c>
      <c r="O25" s="451">
        <v>0</v>
      </c>
      <c r="P25" s="451">
        <v>0</v>
      </c>
      <c r="Q25" s="451">
        <v>0</v>
      </c>
      <c r="R25" s="451">
        <v>0</v>
      </c>
      <c r="S25" s="451">
        <v>0</v>
      </c>
      <c r="T25" s="451">
        <v>539473.77709717513</v>
      </c>
      <c r="U25" s="451">
        <v>0</v>
      </c>
      <c r="V25" s="451">
        <v>746587.55258829985</v>
      </c>
      <c r="W25" s="451">
        <v>574681.13</v>
      </c>
      <c r="X25" s="451">
        <v>0</v>
      </c>
      <c r="Y25" s="451"/>
      <c r="Z25" s="451"/>
      <c r="AA25" s="456"/>
      <c r="AB25" s="451">
        <v>574681.13</v>
      </c>
      <c r="AC25" s="451">
        <v>171906.42258829984</v>
      </c>
      <c r="AD25" s="451">
        <v>240.6689916236198</v>
      </c>
      <c r="AE25" s="457">
        <v>172147.09157992346</v>
      </c>
      <c r="AF25" s="451">
        <v>-34966.683911201253</v>
      </c>
      <c r="AG25" s="451">
        <v>207113.77549112472</v>
      </c>
      <c r="AH25" s="451">
        <v>171906.42258829984</v>
      </c>
      <c r="AI25" s="451">
        <v>26973.688854858759</v>
      </c>
      <c r="AJ25" s="451">
        <v>240.6689916236198</v>
      </c>
      <c r="AK25" s="462"/>
      <c r="AL25" s="453" t="s">
        <v>108</v>
      </c>
      <c r="AM25" s="451">
        <v>172147.09157992346</v>
      </c>
      <c r="AN25" s="453" t="s">
        <v>108</v>
      </c>
      <c r="AO25" s="453">
        <v>7</v>
      </c>
      <c r="AP25" s="453">
        <v>7</v>
      </c>
      <c r="AQ25" s="458">
        <v>0.31910187091246645</v>
      </c>
      <c r="AS25" s="459" t="s">
        <v>104</v>
      </c>
      <c r="AT25" s="453" t="s">
        <v>104</v>
      </c>
      <c r="AU25" s="464" t="s">
        <v>136</v>
      </c>
      <c r="AV25" s="460" t="s">
        <v>36</v>
      </c>
      <c r="AW25" s="453" t="s">
        <v>1430</v>
      </c>
      <c r="BA25" s="464" t="str">
        <f>_xlfn.XLOOKUP(B25,'School List from APT'!A:A,'School List from APT'!C:C,"",FALSE)</f>
        <v/>
      </c>
    </row>
    <row r="26" spans="1:53" x14ac:dyDescent="0.25">
      <c r="A26" s="453" t="s">
        <v>138</v>
      </c>
      <c r="B26" s="453">
        <v>1028</v>
      </c>
      <c r="C26" s="453">
        <v>1028</v>
      </c>
      <c r="D26" s="453" t="s">
        <v>139</v>
      </c>
      <c r="F26" s="454" t="s">
        <v>102</v>
      </c>
      <c r="G26" s="454" t="s">
        <v>36</v>
      </c>
      <c r="H26" s="451">
        <v>66119.908769822432</v>
      </c>
      <c r="I26" s="451">
        <v>0</v>
      </c>
      <c r="J26" s="455">
        <v>66119.908769822432</v>
      </c>
      <c r="K26" s="451">
        <v>487324.69832066027</v>
      </c>
      <c r="L26" s="451">
        <v>18348</v>
      </c>
      <c r="M26" s="451">
        <v>-17861.479906541994</v>
      </c>
      <c r="N26" s="451">
        <v>487811.21841411828</v>
      </c>
      <c r="O26" s="451">
        <v>4175</v>
      </c>
      <c r="P26" s="451">
        <v>0</v>
      </c>
      <c r="Q26" s="451">
        <v>0</v>
      </c>
      <c r="R26" s="451">
        <v>0</v>
      </c>
      <c r="S26" s="451">
        <v>4175</v>
      </c>
      <c r="T26" s="451">
        <v>491986.21841411828</v>
      </c>
      <c r="U26" s="451">
        <v>0</v>
      </c>
      <c r="V26" s="451">
        <v>558106.12718394073</v>
      </c>
      <c r="W26" s="451">
        <v>634899.65</v>
      </c>
      <c r="X26" s="451">
        <v>0</v>
      </c>
      <c r="Y26" s="451"/>
      <c r="Z26" s="451"/>
      <c r="AA26" s="456"/>
      <c r="AB26" s="451">
        <v>634899.65</v>
      </c>
      <c r="AC26" s="451">
        <v>-76793.522816059296</v>
      </c>
      <c r="AD26" s="451">
        <v>0</v>
      </c>
      <c r="AE26" s="457">
        <v>-76793.522816059296</v>
      </c>
      <c r="AF26" s="451">
        <v>-142913.43158588174</v>
      </c>
      <c r="AG26" s="451">
        <v>66119.908769822432</v>
      </c>
      <c r="AH26" s="451">
        <v>0</v>
      </c>
      <c r="AI26" s="451">
        <v>0</v>
      </c>
      <c r="AJ26" s="451">
        <v>0</v>
      </c>
      <c r="AK26" s="462"/>
      <c r="AL26" s="453" t="s">
        <v>103</v>
      </c>
      <c r="AM26" s="451">
        <v>-76793.522816059296</v>
      </c>
      <c r="AN26" s="453" t="s">
        <v>103</v>
      </c>
      <c r="AO26" s="453">
        <v>23</v>
      </c>
      <c r="AP26" s="453">
        <v>23</v>
      </c>
      <c r="AQ26" s="458">
        <v>-0.15608876822525156</v>
      </c>
      <c r="AS26" s="459" t="s">
        <v>104</v>
      </c>
      <c r="AT26" s="453" t="s">
        <v>104</v>
      </c>
      <c r="AU26" s="464" t="s">
        <v>138</v>
      </c>
      <c r="AV26" s="460" t="s">
        <v>36</v>
      </c>
      <c r="AW26" s="453" t="s">
        <v>1430</v>
      </c>
      <c r="BA26" s="464" t="str">
        <f>_xlfn.XLOOKUP(B26,'School List from APT'!A:A,'School List from APT'!C:C,"",FALSE)</f>
        <v/>
      </c>
    </row>
    <row r="27" spans="1:53" x14ac:dyDescent="0.25">
      <c r="A27" s="453" t="s">
        <v>140</v>
      </c>
      <c r="B27" s="453">
        <v>1049</v>
      </c>
      <c r="C27" s="453">
        <v>1049</v>
      </c>
      <c r="D27" s="453" t="s">
        <v>141</v>
      </c>
      <c r="F27" s="454" t="s">
        <v>102</v>
      </c>
      <c r="G27" s="454" t="s">
        <v>36</v>
      </c>
      <c r="H27" s="451">
        <v>244571.71522151254</v>
      </c>
      <c r="I27" s="451">
        <v>0</v>
      </c>
      <c r="J27" s="455">
        <v>244571.71522151254</v>
      </c>
      <c r="K27" s="451">
        <v>503695.22254032799</v>
      </c>
      <c r="L27" s="451">
        <v>18168</v>
      </c>
      <c r="M27" s="451">
        <v>-1904.0064705882687</v>
      </c>
      <c r="N27" s="451">
        <v>519959.21606973972</v>
      </c>
      <c r="O27" s="451">
        <v>15548.086666666662</v>
      </c>
      <c r="P27" s="451">
        <v>0</v>
      </c>
      <c r="Q27" s="451">
        <v>0</v>
      </c>
      <c r="R27" s="451">
        <v>0</v>
      </c>
      <c r="S27" s="451">
        <v>15548.086666666662</v>
      </c>
      <c r="T27" s="451">
        <v>535507.30273640633</v>
      </c>
      <c r="U27" s="451">
        <v>0</v>
      </c>
      <c r="V27" s="451">
        <v>780079.01795791881</v>
      </c>
      <c r="W27" s="451">
        <v>443398.43</v>
      </c>
      <c r="X27" s="451">
        <v>0</v>
      </c>
      <c r="Y27" s="451"/>
      <c r="Z27" s="451"/>
      <c r="AA27" s="456"/>
      <c r="AB27" s="451">
        <v>443398.43</v>
      </c>
      <c r="AC27" s="451">
        <v>336680.58795791882</v>
      </c>
      <c r="AD27" s="451">
        <v>342.40040131011756</v>
      </c>
      <c r="AE27" s="457">
        <v>337022.98835922894</v>
      </c>
      <c r="AF27" s="451">
        <v>92451.273137716402</v>
      </c>
      <c r="AG27" s="451">
        <v>244571.71522151254</v>
      </c>
      <c r="AH27" s="451">
        <v>244571.71522151254</v>
      </c>
      <c r="AI27" s="451">
        <v>25997.960803486989</v>
      </c>
      <c r="AJ27" s="451">
        <v>342.40040131011756</v>
      </c>
      <c r="AK27" s="462"/>
      <c r="AL27" s="453" t="s">
        <v>108</v>
      </c>
      <c r="AM27" s="451">
        <v>337022.98835922894</v>
      </c>
      <c r="AN27" s="453" t="s">
        <v>108</v>
      </c>
      <c r="AO27" s="453">
        <v>2</v>
      </c>
      <c r="AP27" s="453">
        <v>2</v>
      </c>
      <c r="AQ27" s="458">
        <v>0.62935274017191589</v>
      </c>
      <c r="AS27" s="459" t="s">
        <v>104</v>
      </c>
      <c r="AT27" s="453" t="s">
        <v>104</v>
      </c>
      <c r="AU27" s="464" t="s">
        <v>140</v>
      </c>
      <c r="AV27" s="460" t="s">
        <v>36</v>
      </c>
      <c r="AW27" s="453" t="s">
        <v>1430</v>
      </c>
      <c r="BA27" s="464" t="str">
        <f>_xlfn.XLOOKUP(B27,'School List from APT'!A:A,'School List from APT'!C:C,"",FALSE)</f>
        <v/>
      </c>
    </row>
    <row r="28" spans="1:53" x14ac:dyDescent="0.25">
      <c r="A28" s="453" t="s">
        <v>142</v>
      </c>
      <c r="B28" s="453">
        <v>1008</v>
      </c>
      <c r="C28" s="453">
        <v>1008</v>
      </c>
      <c r="D28" s="453" t="s">
        <v>143</v>
      </c>
      <c r="F28" s="454" t="s">
        <v>102</v>
      </c>
      <c r="G28" s="454" t="s">
        <v>36</v>
      </c>
      <c r="H28" s="451">
        <v>111820.88187589828</v>
      </c>
      <c r="I28" s="451">
        <v>0</v>
      </c>
      <c r="J28" s="455">
        <v>111820.88187589828</v>
      </c>
      <c r="K28" s="451">
        <v>407934.69447158428</v>
      </c>
      <c r="L28" s="451">
        <v>17988</v>
      </c>
      <c r="M28" s="451">
        <v>24146.340410958976</v>
      </c>
      <c r="N28" s="451">
        <v>450069.03488254326</v>
      </c>
      <c r="O28" s="451">
        <v>1307.0833333333335</v>
      </c>
      <c r="P28" s="451">
        <v>0</v>
      </c>
      <c r="Q28" s="451">
        <v>0</v>
      </c>
      <c r="R28" s="451">
        <v>0</v>
      </c>
      <c r="S28" s="451">
        <v>1307.0833333333335</v>
      </c>
      <c r="T28" s="451">
        <v>451376.11821587657</v>
      </c>
      <c r="U28" s="451">
        <v>0</v>
      </c>
      <c r="V28" s="451">
        <v>563197.00009177485</v>
      </c>
      <c r="W28" s="451">
        <v>411119.46</v>
      </c>
      <c r="X28" s="451">
        <v>0</v>
      </c>
      <c r="Y28" s="451"/>
      <c r="Z28" s="451"/>
      <c r="AA28" s="456"/>
      <c r="AB28" s="451">
        <v>411119.46</v>
      </c>
      <c r="AC28" s="451">
        <v>152077.54009177483</v>
      </c>
      <c r="AD28" s="451">
        <v>156.5492346262576</v>
      </c>
      <c r="AE28" s="457">
        <v>152234.0893264011</v>
      </c>
      <c r="AF28" s="451">
        <v>40413.207450502814</v>
      </c>
      <c r="AG28" s="451">
        <v>111820.88187589828</v>
      </c>
      <c r="AH28" s="451">
        <v>111820.88187589828</v>
      </c>
      <c r="AI28" s="451">
        <v>22503.451744127164</v>
      </c>
      <c r="AJ28" s="451">
        <v>156.5492346262576</v>
      </c>
      <c r="AK28" s="462"/>
      <c r="AL28" s="453" t="s">
        <v>108</v>
      </c>
      <c r="AM28" s="451">
        <v>152234.0893264011</v>
      </c>
      <c r="AN28" s="453" t="s">
        <v>108</v>
      </c>
      <c r="AO28" s="453">
        <v>9</v>
      </c>
      <c r="AP28" s="453">
        <v>6</v>
      </c>
      <c r="AQ28" s="458">
        <v>0.33726660136146841</v>
      </c>
      <c r="AS28" s="459" t="s">
        <v>104</v>
      </c>
      <c r="AT28" s="453" t="s">
        <v>104</v>
      </c>
      <c r="AU28" s="464" t="s">
        <v>142</v>
      </c>
      <c r="AV28" s="460" t="s">
        <v>36</v>
      </c>
      <c r="AW28" s="453" t="s">
        <v>1430</v>
      </c>
      <c r="BA28" s="464" t="str">
        <f>_xlfn.XLOOKUP(B28,'School List from APT'!A:A,'School List from APT'!C:C,"",FALSE)</f>
        <v/>
      </c>
    </row>
    <row r="29" spans="1:53" x14ac:dyDescent="0.25">
      <c r="A29" s="453" t="s">
        <v>144</v>
      </c>
      <c r="B29" s="453">
        <v>1009</v>
      </c>
      <c r="C29" s="453">
        <v>1009</v>
      </c>
      <c r="D29" s="453" t="s">
        <v>145</v>
      </c>
      <c r="F29" s="454" t="s">
        <v>102</v>
      </c>
      <c r="G29" s="454" t="s">
        <v>36</v>
      </c>
      <c r="H29" s="451">
        <v>-317302.2516423068</v>
      </c>
      <c r="I29" s="451">
        <v>0</v>
      </c>
      <c r="J29" s="455">
        <v>-317302.2516423068</v>
      </c>
      <c r="K29" s="451">
        <v>685561.56868007802</v>
      </c>
      <c r="L29" s="451">
        <v>25364</v>
      </c>
      <c r="M29" s="451">
        <v>-122689.93367346923</v>
      </c>
      <c r="N29" s="451">
        <v>588235.63500660879</v>
      </c>
      <c r="O29" s="451">
        <v>3390.666666666667</v>
      </c>
      <c r="P29" s="451">
        <v>0</v>
      </c>
      <c r="Q29" s="451">
        <v>0</v>
      </c>
      <c r="R29" s="451">
        <v>0</v>
      </c>
      <c r="S29" s="451">
        <v>3390.666666666667</v>
      </c>
      <c r="T29" s="451">
        <v>591626.30167327542</v>
      </c>
      <c r="U29" s="451">
        <v>0</v>
      </c>
      <c r="V29" s="451">
        <v>274324.05003096862</v>
      </c>
      <c r="W29" s="451">
        <v>1109552.8899999999</v>
      </c>
      <c r="X29" s="451">
        <v>0</v>
      </c>
      <c r="Y29" s="451"/>
      <c r="Z29" s="451"/>
      <c r="AA29" s="456"/>
      <c r="AB29" s="451">
        <v>1109552.8899999999</v>
      </c>
      <c r="AC29" s="451">
        <v>-835228.83996903128</v>
      </c>
      <c r="AD29" s="451">
        <v>0</v>
      </c>
      <c r="AE29" s="457">
        <v>-835228.83996903128</v>
      </c>
      <c r="AF29" s="451">
        <v>-517926.58832672448</v>
      </c>
      <c r="AG29" s="451">
        <v>-317302.2516423068</v>
      </c>
      <c r="AH29" s="451">
        <v>0</v>
      </c>
      <c r="AI29" s="451">
        <v>0</v>
      </c>
      <c r="AJ29" s="451">
        <v>0</v>
      </c>
      <c r="AK29" s="462"/>
      <c r="AL29" s="453" t="s">
        <v>103</v>
      </c>
      <c r="AM29" s="451">
        <v>-835228.83996903128</v>
      </c>
      <c r="AN29" s="453" t="s">
        <v>103</v>
      </c>
      <c r="AO29" s="453">
        <v>27</v>
      </c>
      <c r="AP29" s="453">
        <v>27</v>
      </c>
      <c r="AQ29" s="458">
        <v>-1.4117506906078778</v>
      </c>
      <c r="AS29" s="459" t="s">
        <v>104</v>
      </c>
      <c r="AT29" s="453" t="s">
        <v>104</v>
      </c>
      <c r="AU29" s="464" t="s">
        <v>144</v>
      </c>
      <c r="AV29" s="460" t="s">
        <v>36</v>
      </c>
      <c r="AW29" s="453" t="s">
        <v>1430</v>
      </c>
      <c r="BA29" s="464" t="str">
        <f>_xlfn.XLOOKUP(B29,'School List from APT'!A:A,'School List from APT'!C:C,"",FALSE)</f>
        <v/>
      </c>
    </row>
    <row r="30" spans="1:53" x14ac:dyDescent="0.25">
      <c r="A30" s="453" t="s">
        <v>146</v>
      </c>
      <c r="B30" s="453">
        <v>1018</v>
      </c>
      <c r="C30" s="453">
        <v>1018</v>
      </c>
      <c r="D30" s="453" t="s">
        <v>147</v>
      </c>
      <c r="F30" s="454" t="s">
        <v>102</v>
      </c>
      <c r="G30" s="454" t="s">
        <v>36</v>
      </c>
      <c r="H30" s="451">
        <v>197047.48222674968</v>
      </c>
      <c r="I30" s="451">
        <v>0</v>
      </c>
      <c r="J30" s="455">
        <v>197047.48222674968</v>
      </c>
      <c r="K30" s="451">
        <v>731030.7172682113</v>
      </c>
      <c r="L30" s="451">
        <v>23385</v>
      </c>
      <c r="M30" s="451">
        <v>-74815.598360655829</v>
      </c>
      <c r="N30" s="451">
        <v>679600.11890755547</v>
      </c>
      <c r="O30" s="451">
        <v>11214.458333333332</v>
      </c>
      <c r="P30" s="451">
        <v>0</v>
      </c>
      <c r="Q30" s="451">
        <v>0</v>
      </c>
      <c r="R30" s="451">
        <v>0</v>
      </c>
      <c r="S30" s="451">
        <v>11214.458333333332</v>
      </c>
      <c r="T30" s="451">
        <v>690814.57724088884</v>
      </c>
      <c r="U30" s="451">
        <v>0</v>
      </c>
      <c r="V30" s="451">
        <v>887862.05946763849</v>
      </c>
      <c r="W30" s="451">
        <v>902194.4</v>
      </c>
      <c r="X30" s="451">
        <v>0</v>
      </c>
      <c r="Y30" s="451"/>
      <c r="Z30" s="451"/>
      <c r="AA30" s="456"/>
      <c r="AB30" s="451">
        <v>902194.4</v>
      </c>
      <c r="AC30" s="451">
        <v>-14332.34053236153</v>
      </c>
      <c r="AD30" s="451">
        <v>0</v>
      </c>
      <c r="AE30" s="457">
        <v>-14332.34053236153</v>
      </c>
      <c r="AF30" s="451">
        <v>-211379.82275911121</v>
      </c>
      <c r="AG30" s="451">
        <v>197047.48222674968</v>
      </c>
      <c r="AH30" s="451">
        <v>0</v>
      </c>
      <c r="AI30" s="451">
        <v>0</v>
      </c>
      <c r="AJ30" s="451">
        <v>0</v>
      </c>
      <c r="AK30" s="462"/>
      <c r="AL30" s="453" t="s">
        <v>103</v>
      </c>
      <c r="AM30" s="451">
        <v>-14332.34053236153</v>
      </c>
      <c r="AN30" s="453" t="s">
        <v>103</v>
      </c>
      <c r="AO30" s="453">
        <v>18</v>
      </c>
      <c r="AP30" s="453">
        <v>18</v>
      </c>
      <c r="AQ30" s="458">
        <v>-2.0747015197051646E-2</v>
      </c>
      <c r="AS30" s="459" t="s">
        <v>104</v>
      </c>
      <c r="AT30" s="453" t="s">
        <v>104</v>
      </c>
      <c r="AU30" s="464" t="s">
        <v>146</v>
      </c>
      <c r="AV30" s="460" t="s">
        <v>36</v>
      </c>
      <c r="AW30" s="453" t="s">
        <v>1430</v>
      </c>
      <c r="BA30" s="464" t="str">
        <f>_xlfn.XLOOKUP(B30,'School List from APT'!A:A,'School List from APT'!C:C,"",FALSE)</f>
        <v/>
      </c>
    </row>
    <row r="31" spans="1:53" x14ac:dyDescent="0.25">
      <c r="A31" s="453" t="s">
        <v>148</v>
      </c>
      <c r="B31" s="453">
        <v>1000</v>
      </c>
      <c r="C31" s="453">
        <v>1000</v>
      </c>
      <c r="D31" s="453" t="s">
        <v>149</v>
      </c>
      <c r="F31" s="454" t="s">
        <v>102</v>
      </c>
      <c r="G31" s="454" t="s">
        <v>36</v>
      </c>
      <c r="H31" s="451">
        <v>54472.59346468233</v>
      </c>
      <c r="I31" s="451">
        <v>0</v>
      </c>
      <c r="J31" s="455">
        <v>54472.59346468233</v>
      </c>
      <c r="K31" s="451">
        <v>409613.93737449421</v>
      </c>
      <c r="L31" s="451">
        <v>20472.349999999999</v>
      </c>
      <c r="M31" s="451">
        <v>-1484.4735483871191</v>
      </c>
      <c r="N31" s="451">
        <v>428601.81382610707</v>
      </c>
      <c r="O31" s="451">
        <v>2400</v>
      </c>
      <c r="P31" s="451">
        <v>0</v>
      </c>
      <c r="Q31" s="451">
        <v>0</v>
      </c>
      <c r="R31" s="451">
        <v>0</v>
      </c>
      <c r="S31" s="451">
        <v>2400</v>
      </c>
      <c r="T31" s="451">
        <v>431001.81382610707</v>
      </c>
      <c r="U31" s="451">
        <v>0</v>
      </c>
      <c r="V31" s="451">
        <v>485474.40729078942</v>
      </c>
      <c r="W31" s="451">
        <v>469872.36</v>
      </c>
      <c r="X31" s="451">
        <v>-1692.51</v>
      </c>
      <c r="Y31" s="451"/>
      <c r="Z31" s="451"/>
      <c r="AA31" s="456"/>
      <c r="AB31" s="451">
        <v>468179.85</v>
      </c>
      <c r="AC31" s="451">
        <v>17294.557290789438</v>
      </c>
      <c r="AD31" s="451">
        <v>24.212380207105213</v>
      </c>
      <c r="AE31" s="457">
        <v>17318.769670996542</v>
      </c>
      <c r="AF31" s="451">
        <v>-37153.823793685791</v>
      </c>
      <c r="AG31" s="451">
        <v>54472.59346468233</v>
      </c>
      <c r="AH31" s="451">
        <v>17294.557290789438</v>
      </c>
      <c r="AI31" s="451">
        <v>21430.090691305355</v>
      </c>
      <c r="AJ31" s="451">
        <v>24.212380207105213</v>
      </c>
      <c r="AK31" s="462"/>
      <c r="AL31" s="453" t="s">
        <v>108</v>
      </c>
      <c r="AM31" s="451">
        <v>17318.769670996542</v>
      </c>
      <c r="AN31" s="453" t="s">
        <v>108</v>
      </c>
      <c r="AO31" s="453">
        <v>16</v>
      </c>
      <c r="AP31" s="453">
        <v>16</v>
      </c>
      <c r="AQ31" s="458">
        <v>4.0182591152583901E-2</v>
      </c>
      <c r="AS31" s="459" t="s">
        <v>104</v>
      </c>
      <c r="AT31" s="453" t="s">
        <v>104</v>
      </c>
      <c r="AU31" s="464" t="s">
        <v>148</v>
      </c>
      <c r="AV31" s="460" t="s">
        <v>36</v>
      </c>
      <c r="AW31" s="453" t="s">
        <v>1430</v>
      </c>
      <c r="BA31" s="464" t="str">
        <f>_xlfn.XLOOKUP(B31,'School List from APT'!A:A,'School List from APT'!C:C,"",FALSE)</f>
        <v/>
      </c>
    </row>
    <row r="32" spans="1:53" x14ac:dyDescent="0.25">
      <c r="A32" s="453" t="s">
        <v>150</v>
      </c>
      <c r="B32" s="453">
        <v>1038</v>
      </c>
      <c r="C32" s="453">
        <v>1038</v>
      </c>
      <c r="D32" s="453" t="s">
        <v>151</v>
      </c>
      <c r="F32" s="454" t="s">
        <v>102</v>
      </c>
      <c r="G32" s="454" t="s">
        <v>36</v>
      </c>
      <c r="H32" s="451">
        <v>380551.1600907137</v>
      </c>
      <c r="I32" s="451">
        <v>0</v>
      </c>
      <c r="J32" s="455">
        <v>380551.1600907137</v>
      </c>
      <c r="K32" s="451">
        <v>740497.74352330738</v>
      </c>
      <c r="L32" s="451">
        <v>24644</v>
      </c>
      <c r="M32" s="451">
        <v>-22775.078244274715</v>
      </c>
      <c r="N32" s="451">
        <v>742366.66527903266</v>
      </c>
      <c r="O32" s="451">
        <v>43184.997499999998</v>
      </c>
      <c r="P32" s="451">
        <v>0</v>
      </c>
      <c r="Q32" s="451">
        <v>0</v>
      </c>
      <c r="R32" s="451">
        <v>0</v>
      </c>
      <c r="S32" s="451">
        <v>43184.997499999998</v>
      </c>
      <c r="T32" s="451">
        <v>785551.66277903272</v>
      </c>
      <c r="U32" s="451">
        <v>0</v>
      </c>
      <c r="V32" s="451">
        <v>1166102.8228697465</v>
      </c>
      <c r="W32" s="451">
        <v>873309.65</v>
      </c>
      <c r="X32" s="451">
        <v>0</v>
      </c>
      <c r="Y32" s="451"/>
      <c r="Z32" s="451"/>
      <c r="AA32" s="456"/>
      <c r="AB32" s="451">
        <v>873309.65</v>
      </c>
      <c r="AC32" s="451">
        <v>292793.17286974646</v>
      </c>
      <c r="AD32" s="451">
        <v>409.91044201764504</v>
      </c>
      <c r="AE32" s="457">
        <v>293203.08331176412</v>
      </c>
      <c r="AF32" s="451">
        <v>-87348.076778949588</v>
      </c>
      <c r="AG32" s="451">
        <v>380551.1600907137</v>
      </c>
      <c r="AH32" s="451">
        <v>292793.17286974646</v>
      </c>
      <c r="AI32" s="451">
        <v>37118.333263951637</v>
      </c>
      <c r="AJ32" s="451">
        <v>409.91044201764504</v>
      </c>
      <c r="AK32" s="462"/>
      <c r="AL32" s="453" t="s">
        <v>108</v>
      </c>
      <c r="AM32" s="451">
        <v>293203.08331176412</v>
      </c>
      <c r="AN32" s="453" t="s">
        <v>108</v>
      </c>
      <c r="AO32" s="453">
        <v>4</v>
      </c>
      <c r="AP32" s="453">
        <v>5</v>
      </c>
      <c r="AQ32" s="458">
        <v>0.37324481279118493</v>
      </c>
      <c r="AS32" s="459" t="s">
        <v>104</v>
      </c>
      <c r="AT32" s="453" t="s">
        <v>104</v>
      </c>
      <c r="AU32" s="464" t="s">
        <v>150</v>
      </c>
      <c r="AV32" s="460" t="s">
        <v>36</v>
      </c>
      <c r="AW32" s="453" t="s">
        <v>1431</v>
      </c>
      <c r="BA32" s="464" t="str">
        <f>_xlfn.XLOOKUP(B32,'School List from APT'!A:A,'School List from APT'!C:C,"",FALSE)</f>
        <v/>
      </c>
    </row>
    <row r="33" spans="1:53" x14ac:dyDescent="0.25">
      <c r="A33" s="453" t="s">
        <v>152</v>
      </c>
      <c r="B33" s="453">
        <v>1019</v>
      </c>
      <c r="C33" s="453">
        <v>1019</v>
      </c>
      <c r="D33" s="453" t="s">
        <v>153</v>
      </c>
      <c r="F33" s="454" t="s">
        <v>102</v>
      </c>
      <c r="G33" s="454" t="s">
        <v>36</v>
      </c>
      <c r="H33" s="451">
        <v>-199546.44026480103</v>
      </c>
      <c r="I33" s="451">
        <v>0</v>
      </c>
      <c r="J33" s="455">
        <v>-199546.44026480103</v>
      </c>
      <c r="K33" s="451">
        <v>750175.82297695812</v>
      </c>
      <c r="L33" s="451">
        <v>28601</v>
      </c>
      <c r="M33" s="451">
        <v>-106343.37999999989</v>
      </c>
      <c r="N33" s="451">
        <v>672433.44297695823</v>
      </c>
      <c r="O33" s="451">
        <v>1518.3333333333335</v>
      </c>
      <c r="P33" s="451">
        <v>0</v>
      </c>
      <c r="Q33" s="451">
        <v>0</v>
      </c>
      <c r="R33" s="451">
        <v>0</v>
      </c>
      <c r="S33" s="451">
        <v>1518.3333333333335</v>
      </c>
      <c r="T33" s="451">
        <v>673951.77631029161</v>
      </c>
      <c r="U33" s="451">
        <v>0</v>
      </c>
      <c r="V33" s="451">
        <v>474405.33604549058</v>
      </c>
      <c r="W33" s="451">
        <v>930499.32</v>
      </c>
      <c r="X33" s="451">
        <v>0</v>
      </c>
      <c r="Y33" s="451"/>
      <c r="Z33" s="451"/>
      <c r="AA33" s="456"/>
      <c r="AB33" s="451">
        <v>930499.32</v>
      </c>
      <c r="AC33" s="451">
        <v>-456093.98395450937</v>
      </c>
      <c r="AD33" s="451">
        <v>0</v>
      </c>
      <c r="AE33" s="457">
        <v>-456093.98395450937</v>
      </c>
      <c r="AF33" s="451">
        <v>-256547.54368970834</v>
      </c>
      <c r="AG33" s="451">
        <v>-199546.44026480103</v>
      </c>
      <c r="AH33" s="451">
        <v>0</v>
      </c>
      <c r="AI33" s="451">
        <v>0</v>
      </c>
      <c r="AJ33" s="451">
        <v>0</v>
      </c>
      <c r="AK33" s="462"/>
      <c r="AL33" s="453" t="s">
        <v>103</v>
      </c>
      <c r="AM33" s="451">
        <v>-456093.98395450937</v>
      </c>
      <c r="AN33" s="453" t="s">
        <v>103</v>
      </c>
      <c r="AO33" s="453">
        <v>26</v>
      </c>
      <c r="AP33" s="453">
        <v>25</v>
      </c>
      <c r="AQ33" s="458">
        <v>-0.67674572571275615</v>
      </c>
      <c r="AS33" s="459" t="s">
        <v>104</v>
      </c>
      <c r="AT33" s="453" t="s">
        <v>104</v>
      </c>
      <c r="AU33" s="464" t="s">
        <v>152</v>
      </c>
      <c r="AV33" s="460" t="s">
        <v>36</v>
      </c>
      <c r="AW33" s="453" t="s">
        <v>1430</v>
      </c>
      <c r="BA33" s="464" t="str">
        <f>_xlfn.XLOOKUP(B33,'School List from APT'!A:A,'School List from APT'!C:C,"",FALSE)</f>
        <v/>
      </c>
    </row>
    <row r="34" spans="1:53" x14ac:dyDescent="0.25">
      <c r="A34" s="453" t="s">
        <v>154</v>
      </c>
      <c r="B34" s="453">
        <v>1020</v>
      </c>
      <c r="C34" s="453">
        <v>1020</v>
      </c>
      <c r="D34" s="453" t="s">
        <v>155</v>
      </c>
      <c r="F34" s="454" t="s">
        <v>102</v>
      </c>
      <c r="G34" s="454" t="s">
        <v>36</v>
      </c>
      <c r="H34" s="451">
        <v>-90176.680576687329</v>
      </c>
      <c r="I34" s="451">
        <v>0</v>
      </c>
      <c r="J34" s="455">
        <v>-90176.680576687329</v>
      </c>
      <c r="K34" s="451">
        <v>922565.56665469764</v>
      </c>
      <c r="L34" s="451">
        <v>33818</v>
      </c>
      <c r="M34" s="451">
        <v>-52837.413184357691</v>
      </c>
      <c r="N34" s="451">
        <v>903546.15347033995</v>
      </c>
      <c r="O34" s="451">
        <v>22882.583333333336</v>
      </c>
      <c r="P34" s="451">
        <v>0</v>
      </c>
      <c r="Q34" s="451">
        <v>0</v>
      </c>
      <c r="R34" s="451">
        <v>0</v>
      </c>
      <c r="S34" s="451">
        <v>22882.583333333336</v>
      </c>
      <c r="T34" s="451">
        <v>926428.73680367332</v>
      </c>
      <c r="U34" s="451">
        <v>0</v>
      </c>
      <c r="V34" s="451">
        <v>836252.05622698599</v>
      </c>
      <c r="W34" s="451">
        <v>881742.75</v>
      </c>
      <c r="X34" s="451">
        <v>0</v>
      </c>
      <c r="Y34" s="451"/>
      <c r="Z34" s="451"/>
      <c r="AA34" s="456"/>
      <c r="AB34" s="451">
        <v>881742.75</v>
      </c>
      <c r="AC34" s="451">
        <v>-45490.693773014005</v>
      </c>
      <c r="AD34" s="451">
        <v>0</v>
      </c>
      <c r="AE34" s="457">
        <v>-45490.693773014005</v>
      </c>
      <c r="AF34" s="451">
        <v>44685.986803673324</v>
      </c>
      <c r="AG34" s="451">
        <v>-90176.680576687329</v>
      </c>
      <c r="AH34" s="451">
        <v>0</v>
      </c>
      <c r="AI34" s="451">
        <v>0</v>
      </c>
      <c r="AJ34" s="451">
        <v>0</v>
      </c>
      <c r="AK34" s="462"/>
      <c r="AL34" s="453" t="s">
        <v>103</v>
      </c>
      <c r="AM34" s="451">
        <v>-45490.693773014005</v>
      </c>
      <c r="AN34" s="453" t="s">
        <v>103</v>
      </c>
      <c r="AO34" s="453">
        <v>22</v>
      </c>
      <c r="AP34" s="453">
        <v>21</v>
      </c>
      <c r="AQ34" s="458">
        <v>-4.9103284436063745E-2</v>
      </c>
      <c r="AS34" s="459" t="s">
        <v>104</v>
      </c>
      <c r="AT34" s="453" t="s">
        <v>104</v>
      </c>
      <c r="AU34" s="464" t="s">
        <v>154</v>
      </c>
      <c r="AV34" s="460" t="s">
        <v>36</v>
      </c>
      <c r="AW34" s="453" t="s">
        <v>1430</v>
      </c>
      <c r="BA34" s="464" t="str">
        <f>_xlfn.XLOOKUP(B34,'School List from APT'!A:A,'School List from APT'!C:C,"",FALSE)</f>
        <v/>
      </c>
    </row>
    <row r="35" spans="1:53" x14ac:dyDescent="0.25">
      <c r="A35" s="453" t="s">
        <v>156</v>
      </c>
      <c r="B35" s="453">
        <v>1014</v>
      </c>
      <c r="C35" s="453">
        <v>1014</v>
      </c>
      <c r="D35" s="453" t="s">
        <v>157</v>
      </c>
      <c r="F35" s="454" t="s">
        <v>102</v>
      </c>
      <c r="G35" s="454" t="s">
        <v>36</v>
      </c>
      <c r="H35" s="451">
        <v>113474.66884439831</v>
      </c>
      <c r="I35" s="451">
        <v>0</v>
      </c>
      <c r="J35" s="455">
        <v>113474.66884439831</v>
      </c>
      <c r="K35" s="451">
        <v>579823.2008055069</v>
      </c>
      <c r="L35" s="451">
        <v>22486</v>
      </c>
      <c r="M35" s="451">
        <v>-17537.707826086902</v>
      </c>
      <c r="N35" s="451">
        <v>584771.49297942</v>
      </c>
      <c r="O35" s="451">
        <v>36683</v>
      </c>
      <c r="P35" s="451">
        <v>0</v>
      </c>
      <c r="Q35" s="451">
        <v>0</v>
      </c>
      <c r="R35" s="451">
        <v>0</v>
      </c>
      <c r="S35" s="451">
        <v>36683</v>
      </c>
      <c r="T35" s="451">
        <v>621454.49297942</v>
      </c>
      <c r="U35" s="451">
        <v>0</v>
      </c>
      <c r="V35" s="451">
        <v>734929.16182381834</v>
      </c>
      <c r="W35" s="451">
        <v>621143.53</v>
      </c>
      <c r="X35" s="451">
        <v>0</v>
      </c>
      <c r="Y35" s="451"/>
      <c r="Z35" s="451"/>
      <c r="AA35" s="456"/>
      <c r="AB35" s="451">
        <v>621143.53</v>
      </c>
      <c r="AC35" s="451">
        <v>113785.63182381832</v>
      </c>
      <c r="AD35" s="451">
        <v>158.86453638215764</v>
      </c>
      <c r="AE35" s="457">
        <v>113944.49636020047</v>
      </c>
      <c r="AF35" s="451">
        <v>469.827515802157</v>
      </c>
      <c r="AG35" s="451">
        <v>113474.66884439831</v>
      </c>
      <c r="AH35" s="451">
        <v>113474.66884439831</v>
      </c>
      <c r="AI35" s="451">
        <v>29238.574648971</v>
      </c>
      <c r="AJ35" s="451">
        <v>158.86453638215764</v>
      </c>
      <c r="AK35" s="462"/>
      <c r="AL35" s="453" t="s">
        <v>108</v>
      </c>
      <c r="AM35" s="451">
        <v>113944.49636020047</v>
      </c>
      <c r="AN35" s="453" t="s">
        <v>108</v>
      </c>
      <c r="AO35" s="453">
        <v>11</v>
      </c>
      <c r="AP35" s="453">
        <v>11</v>
      </c>
      <c r="AQ35" s="458">
        <v>0.18335131155608822</v>
      </c>
      <c r="AS35" s="459" t="s">
        <v>104</v>
      </c>
      <c r="AT35" s="453" t="s">
        <v>104</v>
      </c>
      <c r="AU35" s="464" t="s">
        <v>156</v>
      </c>
      <c r="AV35" s="460" t="s">
        <v>36</v>
      </c>
      <c r="AW35" s="453" t="s">
        <v>1430</v>
      </c>
      <c r="BA35" s="464" t="str">
        <f>_xlfn.XLOOKUP(B35,'School List from APT'!A:A,'School List from APT'!C:C,"",FALSE)</f>
        <v/>
      </c>
    </row>
    <row r="36" spans="1:53" x14ac:dyDescent="0.25">
      <c r="A36" s="453" t="s">
        <v>158</v>
      </c>
      <c r="B36" s="453">
        <v>1802</v>
      </c>
      <c r="C36" s="453">
        <v>1802</v>
      </c>
      <c r="D36" s="453" t="s">
        <v>159</v>
      </c>
      <c r="F36" s="454" t="s">
        <v>102</v>
      </c>
      <c r="G36" s="454" t="s">
        <v>36</v>
      </c>
      <c r="H36" s="451">
        <v>19803.826906362108</v>
      </c>
      <c r="I36" s="451">
        <v>0</v>
      </c>
      <c r="J36" s="455">
        <v>19803.826906362108</v>
      </c>
      <c r="K36" s="451">
        <v>373641.53316122585</v>
      </c>
      <c r="L36" s="451">
        <v>17988</v>
      </c>
      <c r="M36" s="451">
        <v>31687.162258064549</v>
      </c>
      <c r="N36" s="451">
        <v>423316.69541929039</v>
      </c>
      <c r="O36" s="451">
        <v>5150.0024999999996</v>
      </c>
      <c r="P36" s="451">
        <v>0</v>
      </c>
      <c r="Q36" s="451">
        <v>0</v>
      </c>
      <c r="R36" s="451">
        <v>0</v>
      </c>
      <c r="S36" s="451">
        <v>5150.0024999999996</v>
      </c>
      <c r="T36" s="451">
        <v>428466.6979192904</v>
      </c>
      <c r="U36" s="451">
        <v>0</v>
      </c>
      <c r="V36" s="451">
        <v>448270.52482565248</v>
      </c>
      <c r="W36" s="451">
        <v>469057.83</v>
      </c>
      <c r="X36" s="451">
        <v>-3501.2</v>
      </c>
      <c r="Y36" s="451"/>
      <c r="Z36" s="451"/>
      <c r="AA36" s="456"/>
      <c r="AB36" s="451">
        <v>465556.63</v>
      </c>
      <c r="AC36" s="451">
        <v>-17286.105174347525</v>
      </c>
      <c r="AD36" s="451">
        <v>0</v>
      </c>
      <c r="AE36" s="457">
        <v>-17286.105174347525</v>
      </c>
      <c r="AF36" s="451">
        <v>-37089.932080709637</v>
      </c>
      <c r="AG36" s="451">
        <v>19803.826906362108</v>
      </c>
      <c r="AH36" s="451">
        <v>0</v>
      </c>
      <c r="AI36" s="451">
        <v>0</v>
      </c>
      <c r="AJ36" s="451">
        <v>0</v>
      </c>
      <c r="AK36" s="462"/>
      <c r="AL36" s="453" t="s">
        <v>103</v>
      </c>
      <c r="AM36" s="451">
        <v>-17286.105174347525</v>
      </c>
      <c r="AN36" s="453" t="s">
        <v>103</v>
      </c>
      <c r="AO36" s="453">
        <v>20</v>
      </c>
      <c r="AP36" s="453">
        <v>19</v>
      </c>
      <c r="AQ36" s="458">
        <v>-4.0344104356982449E-2</v>
      </c>
      <c r="AS36" s="459" t="s">
        <v>104</v>
      </c>
      <c r="AT36" s="453" t="s">
        <v>104</v>
      </c>
      <c r="AU36" s="464" t="s">
        <v>158</v>
      </c>
      <c r="AV36" s="460" t="s">
        <v>36</v>
      </c>
      <c r="AW36" s="453" t="s">
        <v>1430</v>
      </c>
      <c r="BA36" s="464" t="str">
        <f>_xlfn.XLOOKUP(B36,'School List from APT'!A:A,'School List from APT'!C:C,"",FALSE)</f>
        <v/>
      </c>
    </row>
    <row r="37" spans="1:53" x14ac:dyDescent="0.25">
      <c r="G37" s="454" t="s">
        <v>36</v>
      </c>
      <c r="H37" s="451" t="s">
        <v>36</v>
      </c>
      <c r="I37" s="451"/>
      <c r="J37" s="455">
        <v>0</v>
      </c>
      <c r="K37" s="451"/>
      <c r="L37" s="451"/>
      <c r="M37" s="451">
        <v>0</v>
      </c>
      <c r="N37" s="451"/>
      <c r="O37" s="451"/>
      <c r="P37" s="451"/>
      <c r="Q37" s="451"/>
      <c r="R37" s="451"/>
      <c r="S37" s="451">
        <v>0</v>
      </c>
      <c r="T37" s="451">
        <v>0</v>
      </c>
      <c r="U37" s="451"/>
      <c r="V37" s="451">
        <v>0</v>
      </c>
      <c r="W37" s="451">
        <v>0</v>
      </c>
      <c r="X37" s="451">
        <v>0</v>
      </c>
      <c r="Y37" s="451"/>
      <c r="Z37" s="451"/>
      <c r="AA37" s="456"/>
      <c r="AB37" s="451"/>
      <c r="AC37" s="451"/>
      <c r="AD37" s="451"/>
      <c r="AE37" s="457"/>
      <c r="AF37" s="451"/>
      <c r="AG37" s="451"/>
      <c r="AH37" s="451"/>
      <c r="AI37" s="451"/>
      <c r="AJ37" s="451"/>
      <c r="AK37" s="462"/>
      <c r="AM37" s="451"/>
      <c r="AQ37" s="458"/>
      <c r="AS37" s="459"/>
      <c r="AV37" s="460" t="s">
        <v>36</v>
      </c>
      <c r="BA37" s="464">
        <f>_xlfn.XLOOKUP(B37,'School List from APT'!A:A,'School List from APT'!C:C,"",FALSE)</f>
        <v>0</v>
      </c>
    </row>
    <row r="38" spans="1:53" x14ac:dyDescent="0.25">
      <c r="A38" s="453" t="s">
        <v>160</v>
      </c>
      <c r="B38" s="453">
        <v>3318</v>
      </c>
      <c r="C38" s="453">
        <v>3318</v>
      </c>
      <c r="D38" s="453" t="s">
        <v>161</v>
      </c>
      <c r="E38" s="453"/>
      <c r="F38" s="454" t="s">
        <v>857</v>
      </c>
      <c r="G38" s="454" t="s">
        <v>36</v>
      </c>
      <c r="H38" s="451">
        <v>-49137.592797501944</v>
      </c>
      <c r="I38" s="451">
        <v>0</v>
      </c>
      <c r="J38" s="455">
        <v>-49137.592797501944</v>
      </c>
      <c r="K38" s="451">
        <v>4486.9579159999266</v>
      </c>
      <c r="L38" s="451">
        <v>0</v>
      </c>
      <c r="M38" s="451">
        <v>0</v>
      </c>
      <c r="N38" s="451">
        <v>4486.9579159999266</v>
      </c>
      <c r="O38" s="451">
        <v>0</v>
      </c>
      <c r="P38" s="451">
        <v>0</v>
      </c>
      <c r="Q38" s="451">
        <v>0</v>
      </c>
      <c r="R38" s="451">
        <v>0</v>
      </c>
      <c r="S38" s="451">
        <v>0</v>
      </c>
      <c r="T38" s="451">
        <v>4486.9579159999266</v>
      </c>
      <c r="U38" s="451">
        <v>0</v>
      </c>
      <c r="V38" s="451">
        <v>-44650.634881502017</v>
      </c>
      <c r="W38" s="451">
        <v>-46586.09</v>
      </c>
      <c r="X38" s="451">
        <v>0</v>
      </c>
      <c r="Y38" s="451"/>
      <c r="Z38" s="451"/>
      <c r="AA38" s="456"/>
      <c r="AB38" s="451">
        <v>-46586.09</v>
      </c>
      <c r="AC38" s="451">
        <v>1935.4551184979791</v>
      </c>
      <c r="AD38" s="451">
        <v>0</v>
      </c>
      <c r="AE38" s="457">
        <v>1935.4551184979791</v>
      </c>
      <c r="AF38" s="451">
        <v>51073.047915999923</v>
      </c>
      <c r="AG38" s="451">
        <v>-49137.592797501944</v>
      </c>
      <c r="AH38" s="451">
        <v>0</v>
      </c>
      <c r="AI38" s="451">
        <v>0</v>
      </c>
      <c r="AJ38" s="451">
        <v>0</v>
      </c>
      <c r="AK38" s="462"/>
      <c r="AL38" s="453" t="s">
        <v>1432</v>
      </c>
      <c r="AM38" s="451">
        <v>1935.4551184979791</v>
      </c>
      <c r="AN38" s="453" t="s">
        <v>1432</v>
      </c>
      <c r="AO38" s="453">
        <v>150</v>
      </c>
      <c r="AP38" s="453">
        <v>6</v>
      </c>
      <c r="AQ38" s="458">
        <v>0.43135129741163608</v>
      </c>
      <c r="AR38" s="453"/>
      <c r="AS38" s="459" t="s">
        <v>104</v>
      </c>
      <c r="AT38" s="453" t="s">
        <v>104</v>
      </c>
      <c r="AU38" s="453" t="s">
        <v>160</v>
      </c>
      <c r="AV38" s="460" t="s">
        <v>36</v>
      </c>
      <c r="AW38" s="453" t="s">
        <v>1433</v>
      </c>
      <c r="BA38" s="464" t="str">
        <f>_xlfn.XLOOKUP(B38,'School List from APT'!A:A,'School List from APT'!C:C,"",FALSE)</f>
        <v>Abbey Catholic Primary School</v>
      </c>
    </row>
    <row r="39" spans="1:53" x14ac:dyDescent="0.25">
      <c r="A39" s="453" t="s">
        <v>163</v>
      </c>
      <c r="B39" s="453">
        <v>2010</v>
      </c>
      <c r="C39" s="453">
        <v>2010</v>
      </c>
      <c r="D39" s="453" t="s">
        <v>164</v>
      </c>
      <c r="F39" s="454" t="s">
        <v>162</v>
      </c>
      <c r="G39" s="454" t="s">
        <v>107</v>
      </c>
      <c r="H39" s="451">
        <v>1114326.3830713141</v>
      </c>
      <c r="I39" s="451">
        <v>-3.0713141895830631E-3</v>
      </c>
      <c r="J39" s="455">
        <v>1114326.3799999999</v>
      </c>
      <c r="K39" s="451">
        <v>2594090.1387399463</v>
      </c>
      <c r="L39" s="451">
        <v>463903.125</v>
      </c>
      <c r="M39" s="451">
        <v>0</v>
      </c>
      <c r="N39" s="451">
        <v>3057993.2637399463</v>
      </c>
      <c r="O39" s="451">
        <v>29037.109166666665</v>
      </c>
      <c r="P39" s="451">
        <v>0</v>
      </c>
      <c r="Q39" s="451">
        <v>0</v>
      </c>
      <c r="R39" s="451">
        <v>0</v>
      </c>
      <c r="S39" s="451">
        <v>29037.109166666665</v>
      </c>
      <c r="T39" s="451">
        <v>3087030.3729066132</v>
      </c>
      <c r="U39" s="451">
        <v>0</v>
      </c>
      <c r="V39" s="451">
        <v>4201356.7529066131</v>
      </c>
      <c r="W39" s="451">
        <v>3700984.7</v>
      </c>
      <c r="X39" s="451">
        <v>0</v>
      </c>
      <c r="Y39" s="451"/>
      <c r="Z39" s="451"/>
      <c r="AA39" s="456"/>
      <c r="AB39" s="451">
        <v>3700984.7</v>
      </c>
      <c r="AC39" s="451">
        <v>500372.05290661287</v>
      </c>
      <c r="AD39" s="451">
        <v>0</v>
      </c>
      <c r="AE39" s="457">
        <v>500372.05290661287</v>
      </c>
      <c r="AF39" s="451">
        <v>-613954.32709338702</v>
      </c>
      <c r="AG39" s="451">
        <v>1114326.3799999999</v>
      </c>
      <c r="AH39" s="451">
        <v>0</v>
      </c>
      <c r="AI39" s="451">
        <v>0</v>
      </c>
      <c r="AJ39" s="451">
        <v>0</v>
      </c>
      <c r="AK39" s="462"/>
      <c r="AL39" s="453" t="s">
        <v>108</v>
      </c>
      <c r="AM39" s="451">
        <v>500372.05290661287</v>
      </c>
      <c r="AN39" s="453" t="s">
        <v>108</v>
      </c>
      <c r="AO39" s="453">
        <v>22</v>
      </c>
      <c r="AP39" s="453">
        <v>54</v>
      </c>
      <c r="AQ39" s="458">
        <v>0.16208847742417395</v>
      </c>
      <c r="AS39" s="459" t="s">
        <v>104</v>
      </c>
      <c r="AT39" s="453" t="s">
        <v>109</v>
      </c>
      <c r="AU39" s="464" t="s">
        <v>163</v>
      </c>
      <c r="AV39" s="460" t="s">
        <v>36</v>
      </c>
      <c r="AW39" s="453" t="s">
        <v>1431</v>
      </c>
      <c r="BA39" s="464" t="str">
        <f>_xlfn.XLOOKUP(B39,'School List from APT'!A:A,'School List from APT'!C:C,"",FALSE)</f>
        <v>Adderley Primary School</v>
      </c>
    </row>
    <row r="40" spans="1:53" x14ac:dyDescent="0.25">
      <c r="A40" s="453" t="s">
        <v>165</v>
      </c>
      <c r="B40" s="453">
        <v>5949</v>
      </c>
      <c r="C40" s="453">
        <v>5949</v>
      </c>
      <c r="D40" s="453" t="s">
        <v>166</v>
      </c>
      <c r="F40" s="454" t="s">
        <v>162</v>
      </c>
      <c r="G40" s="454" t="s">
        <v>36</v>
      </c>
      <c r="H40" s="451">
        <v>840639.52917389385</v>
      </c>
      <c r="I40" s="451">
        <v>0</v>
      </c>
      <c r="J40" s="455">
        <v>840639.52917389385</v>
      </c>
      <c r="K40" s="451">
        <v>2791702.751793277</v>
      </c>
      <c r="L40" s="451">
        <v>400033.25</v>
      </c>
      <c r="M40" s="451">
        <v>0</v>
      </c>
      <c r="N40" s="451">
        <v>3191736.001793277</v>
      </c>
      <c r="O40" s="451">
        <v>51409.238333333335</v>
      </c>
      <c r="P40" s="451">
        <v>0</v>
      </c>
      <c r="Q40" s="451">
        <v>0</v>
      </c>
      <c r="R40" s="451">
        <v>0</v>
      </c>
      <c r="S40" s="451">
        <v>51409.238333333335</v>
      </c>
      <c r="T40" s="451">
        <v>3243145.2401266103</v>
      </c>
      <c r="U40" s="451">
        <v>0</v>
      </c>
      <c r="V40" s="451">
        <v>4083784.7693005041</v>
      </c>
      <c r="W40" s="451">
        <v>3419019.45</v>
      </c>
      <c r="X40" s="451">
        <v>0</v>
      </c>
      <c r="Y40" s="451"/>
      <c r="Z40" s="451"/>
      <c r="AA40" s="456"/>
      <c r="AB40" s="451">
        <v>3419019.45</v>
      </c>
      <c r="AC40" s="451">
        <v>664765.31930050394</v>
      </c>
      <c r="AD40" s="451">
        <v>930.6714470207055</v>
      </c>
      <c r="AE40" s="457">
        <v>665695.99074752466</v>
      </c>
      <c r="AF40" s="451">
        <v>-174943.5384263692</v>
      </c>
      <c r="AG40" s="451">
        <v>840639.52917389385</v>
      </c>
      <c r="AH40" s="451">
        <v>664765.31930050394</v>
      </c>
      <c r="AI40" s="451">
        <v>159586.80008966386</v>
      </c>
      <c r="AJ40" s="451">
        <v>930.6714470207055</v>
      </c>
      <c r="AK40" s="462"/>
      <c r="AL40" s="453" t="s">
        <v>108</v>
      </c>
      <c r="AM40" s="451">
        <v>665695.99074752466</v>
      </c>
      <c r="AN40" s="453" t="s">
        <v>108</v>
      </c>
      <c r="AO40" s="453">
        <v>11</v>
      </c>
      <c r="AP40" s="453">
        <v>36</v>
      </c>
      <c r="AQ40" s="458">
        <v>0.20526246635859463</v>
      </c>
      <c r="AS40" s="459" t="s">
        <v>104</v>
      </c>
      <c r="AT40" s="453" t="s">
        <v>104</v>
      </c>
      <c r="AU40" s="464" t="s">
        <v>165</v>
      </c>
      <c r="AV40" s="460" t="s">
        <v>36</v>
      </c>
      <c r="AW40" s="453" t="s">
        <v>1430</v>
      </c>
      <c r="BA40" s="464" t="str">
        <f>_xlfn.XLOOKUP(B40,'School List from APT'!A:A,'School List from APT'!C:C,"",FALSE)</f>
        <v>Al-Furqan Primary School</v>
      </c>
    </row>
    <row r="41" spans="1:53" x14ac:dyDescent="0.25">
      <c r="A41" s="453" t="s">
        <v>167</v>
      </c>
      <c r="B41" s="453">
        <v>2153</v>
      </c>
      <c r="C41" s="453">
        <v>2153</v>
      </c>
      <c r="D41" s="453" t="s">
        <v>168</v>
      </c>
      <c r="F41" s="454" t="s">
        <v>162</v>
      </c>
      <c r="G41" s="454" t="s">
        <v>36</v>
      </c>
      <c r="H41" s="451">
        <v>798957.42118092626</v>
      </c>
      <c r="I41" s="451">
        <v>0</v>
      </c>
      <c r="J41" s="455">
        <v>798957.42118092626</v>
      </c>
      <c r="K41" s="451">
        <v>2135273.9883515658</v>
      </c>
      <c r="L41" s="451">
        <v>402573.25</v>
      </c>
      <c r="M41" s="451">
        <v>0</v>
      </c>
      <c r="N41" s="451">
        <v>2537847.2383515658</v>
      </c>
      <c r="O41" s="451">
        <v>237344.11036075346</v>
      </c>
      <c r="P41" s="451">
        <v>0</v>
      </c>
      <c r="Q41" s="451">
        <v>0</v>
      </c>
      <c r="R41" s="451">
        <v>0</v>
      </c>
      <c r="S41" s="451">
        <v>237344.11036075346</v>
      </c>
      <c r="T41" s="451">
        <v>2775191.348712319</v>
      </c>
      <c r="U41" s="451">
        <v>0</v>
      </c>
      <c r="V41" s="451">
        <v>3574148.7698932453</v>
      </c>
      <c r="W41" s="451">
        <v>2755037.29</v>
      </c>
      <c r="X41" s="451">
        <v>-40650</v>
      </c>
      <c r="Y41" s="451"/>
      <c r="Z41" s="451"/>
      <c r="AA41" s="456"/>
      <c r="AB41" s="451">
        <v>2714387.29</v>
      </c>
      <c r="AC41" s="451">
        <v>859761.47989324527</v>
      </c>
      <c r="AD41" s="451">
        <v>1118.5403896532969</v>
      </c>
      <c r="AE41" s="457">
        <v>860880.02028289856</v>
      </c>
      <c r="AF41" s="451">
        <v>61922.599101972301</v>
      </c>
      <c r="AG41" s="451">
        <v>798957.42118092626</v>
      </c>
      <c r="AH41" s="451">
        <v>798957.42118092626</v>
      </c>
      <c r="AI41" s="451">
        <v>126892.3619175783</v>
      </c>
      <c r="AJ41" s="451">
        <v>1118.5403896532969</v>
      </c>
      <c r="AK41" s="462"/>
      <c r="AL41" s="453" t="s">
        <v>108</v>
      </c>
      <c r="AM41" s="451">
        <v>860880.02028289856</v>
      </c>
      <c r="AN41" s="453" t="s">
        <v>108</v>
      </c>
      <c r="AO41" s="453">
        <v>5</v>
      </c>
      <c r="AP41" s="453">
        <v>11</v>
      </c>
      <c r="AQ41" s="458">
        <v>0.31020564426389713</v>
      </c>
      <c r="AS41" s="459" t="s">
        <v>104</v>
      </c>
      <c r="AT41" s="453" t="s">
        <v>104</v>
      </c>
      <c r="AU41" s="464" t="s">
        <v>167</v>
      </c>
      <c r="AV41" s="460" t="s">
        <v>36</v>
      </c>
      <c r="AW41" s="453" t="s">
        <v>1430</v>
      </c>
      <c r="BA41" s="464" t="str">
        <f>_xlfn.XLOOKUP(B41,'School List from APT'!A:A,'School List from APT'!C:C,"",FALSE)</f>
        <v>Allens Croft Primary School</v>
      </c>
    </row>
    <row r="42" spans="1:53" x14ac:dyDescent="0.25">
      <c r="A42" s="453" t="s">
        <v>169</v>
      </c>
      <c r="B42" s="453">
        <v>2062</v>
      </c>
      <c r="C42" s="453">
        <v>2062</v>
      </c>
      <c r="D42" s="453" t="s">
        <v>170</v>
      </c>
      <c r="E42" s="453" t="s">
        <v>83</v>
      </c>
      <c r="F42" s="454" t="s">
        <v>162</v>
      </c>
      <c r="G42" s="454" t="s">
        <v>107</v>
      </c>
      <c r="H42" s="451">
        <v>296024.17075016443</v>
      </c>
      <c r="I42" s="451"/>
      <c r="J42" s="455">
        <v>296024.17075016443</v>
      </c>
      <c r="K42" s="451">
        <v>2297259.9437890514</v>
      </c>
      <c r="L42" s="451">
        <v>379491</v>
      </c>
      <c r="M42" s="451">
        <v>12529.551428571431</v>
      </c>
      <c r="N42" s="451">
        <v>2689280.4952176227</v>
      </c>
      <c r="O42" s="451">
        <v>15877.189750000001</v>
      </c>
      <c r="P42" s="451">
        <v>0</v>
      </c>
      <c r="Q42" s="451">
        <v>0</v>
      </c>
      <c r="R42" s="451">
        <v>0</v>
      </c>
      <c r="S42" s="451">
        <v>15877.189750000001</v>
      </c>
      <c r="T42" s="451">
        <v>2705157.6849676226</v>
      </c>
      <c r="U42" s="451">
        <v>0</v>
      </c>
      <c r="V42" s="451">
        <v>3001181.8557177871</v>
      </c>
      <c r="W42" s="451">
        <v>2372790.13</v>
      </c>
      <c r="X42" s="451">
        <v>0</v>
      </c>
      <c r="Y42" s="451"/>
      <c r="Z42" s="451"/>
      <c r="AA42" s="456"/>
      <c r="AB42" s="451">
        <v>2372790.13</v>
      </c>
      <c r="AC42" s="451">
        <v>628391.72571778717</v>
      </c>
      <c r="AD42" s="451">
        <v>0</v>
      </c>
      <c r="AE42" s="457">
        <v>628391.72571778717</v>
      </c>
      <c r="AF42" s="451">
        <v>332367.55496762274</v>
      </c>
      <c r="AG42" s="451">
        <v>296024.17075016443</v>
      </c>
      <c r="AH42" s="451">
        <v>0</v>
      </c>
      <c r="AI42" s="451">
        <v>0</v>
      </c>
      <c r="AJ42" s="451">
        <v>0</v>
      </c>
      <c r="AK42" s="462"/>
      <c r="AL42" s="453" t="s">
        <v>108</v>
      </c>
      <c r="AM42" s="451">
        <v>628391.72571778717</v>
      </c>
      <c r="AN42" s="453" t="s">
        <v>108</v>
      </c>
      <c r="AO42" s="453">
        <v>14</v>
      </c>
      <c r="AP42" s="453">
        <v>22</v>
      </c>
      <c r="AQ42" s="458">
        <v>0.2322939358432661</v>
      </c>
      <c r="AS42" s="459" t="s">
        <v>104</v>
      </c>
      <c r="AT42" s="453" t="s">
        <v>109</v>
      </c>
      <c r="AU42" s="464" t="s">
        <v>169</v>
      </c>
      <c r="AV42" s="460" t="s">
        <v>36</v>
      </c>
      <c r="AW42" s="453" t="s">
        <v>1430</v>
      </c>
      <c r="BA42" s="464" t="str">
        <f>_xlfn.XLOOKUP(B42,'School List from APT'!A:A,'School List from APT'!C:C,"",FALSE)</f>
        <v>Anderton Park Primary School</v>
      </c>
    </row>
    <row r="43" spans="1:53" x14ac:dyDescent="0.25">
      <c r="A43" s="453" t="s">
        <v>171</v>
      </c>
      <c r="B43" s="453">
        <v>2479</v>
      </c>
      <c r="C43" s="453">
        <v>2479</v>
      </c>
      <c r="D43" s="453" t="s">
        <v>172</v>
      </c>
      <c r="E43" s="453" t="s">
        <v>83</v>
      </c>
      <c r="F43" s="454" t="s">
        <v>162</v>
      </c>
      <c r="G43" s="454" t="s">
        <v>36</v>
      </c>
      <c r="H43" s="451">
        <v>747516.87261729443</v>
      </c>
      <c r="I43" s="451">
        <v>0</v>
      </c>
      <c r="J43" s="455">
        <v>747516.87261729443</v>
      </c>
      <c r="K43" s="451">
        <v>3621494.4461663822</v>
      </c>
      <c r="L43" s="451">
        <v>545961.625</v>
      </c>
      <c r="M43" s="451">
        <v>-38235.70822784811</v>
      </c>
      <c r="N43" s="451">
        <v>4129220.362938534</v>
      </c>
      <c r="O43" s="451">
        <v>85237.962869069306</v>
      </c>
      <c r="P43" s="451">
        <v>0</v>
      </c>
      <c r="Q43" s="451">
        <v>0</v>
      </c>
      <c r="R43" s="451">
        <v>0</v>
      </c>
      <c r="S43" s="451">
        <v>85237.962869069306</v>
      </c>
      <c r="T43" s="451">
        <v>4214458.3258076031</v>
      </c>
      <c r="U43" s="451">
        <v>0</v>
      </c>
      <c r="V43" s="451">
        <v>4961975.1984248972</v>
      </c>
      <c r="W43" s="451">
        <v>4394625.8600000003</v>
      </c>
      <c r="X43" s="451">
        <v>0</v>
      </c>
      <c r="Y43" s="451"/>
      <c r="Z43" s="451"/>
      <c r="AA43" s="456"/>
      <c r="AB43" s="451">
        <v>4394625.8600000003</v>
      </c>
      <c r="AC43" s="451">
        <v>567349.33842489682</v>
      </c>
      <c r="AD43" s="451">
        <v>794.28907379485554</v>
      </c>
      <c r="AE43" s="457">
        <v>568143.62749869167</v>
      </c>
      <c r="AF43" s="451">
        <v>-179373.24511860276</v>
      </c>
      <c r="AG43" s="451">
        <v>747516.87261729443</v>
      </c>
      <c r="AH43" s="451">
        <v>567349.33842489682</v>
      </c>
      <c r="AI43" s="451">
        <v>206461.01814692671</v>
      </c>
      <c r="AJ43" s="451">
        <v>794.28907379485554</v>
      </c>
      <c r="AK43" s="462"/>
      <c r="AL43" s="453" t="s">
        <v>108</v>
      </c>
      <c r="AM43" s="451">
        <v>568143.62749869167</v>
      </c>
      <c r="AN43" s="453" t="s">
        <v>108</v>
      </c>
      <c r="AO43" s="453">
        <v>17</v>
      </c>
      <c r="AP43" s="453">
        <v>71</v>
      </c>
      <c r="AQ43" s="458">
        <v>0.13480822055342548</v>
      </c>
      <c r="AS43" s="459" t="s">
        <v>104</v>
      </c>
      <c r="AT43" s="453" t="s">
        <v>104</v>
      </c>
      <c r="AU43" s="464" t="s">
        <v>171</v>
      </c>
      <c r="AV43" s="460" t="s">
        <v>36</v>
      </c>
      <c r="AW43" s="453" t="s">
        <v>1430</v>
      </c>
      <c r="BA43" s="464" t="str">
        <f>_xlfn.XLOOKUP(B43,'School List from APT'!A:A,'School List from APT'!C:C,"",FALSE)</f>
        <v>Anglesey Primary School</v>
      </c>
    </row>
    <row r="44" spans="1:53" x14ac:dyDescent="0.25">
      <c r="A44" s="453" t="s">
        <v>173</v>
      </c>
      <c r="B44" s="453">
        <v>2300</v>
      </c>
      <c r="C44" s="453">
        <v>2300</v>
      </c>
      <c r="D44" s="453" t="s">
        <v>174</v>
      </c>
      <c r="E44" s="453" t="s">
        <v>83</v>
      </c>
      <c r="F44" s="454" t="s">
        <v>162</v>
      </c>
      <c r="G44" s="454" t="s">
        <v>36</v>
      </c>
      <c r="H44" s="451">
        <v>395393.17690460011</v>
      </c>
      <c r="I44" s="451">
        <v>0</v>
      </c>
      <c r="J44" s="455">
        <v>395393.17690460011</v>
      </c>
      <c r="K44" s="451">
        <v>3236705.2943690764</v>
      </c>
      <c r="L44" s="451">
        <v>490204.75</v>
      </c>
      <c r="M44" s="451">
        <v>7735.8573529412097</v>
      </c>
      <c r="N44" s="451">
        <v>3734645.9017220177</v>
      </c>
      <c r="O44" s="451">
        <v>151225.09069170471</v>
      </c>
      <c r="P44" s="451">
        <v>0</v>
      </c>
      <c r="Q44" s="451">
        <v>0</v>
      </c>
      <c r="R44" s="451">
        <v>0</v>
      </c>
      <c r="S44" s="451">
        <v>151225.09069170471</v>
      </c>
      <c r="T44" s="451">
        <v>3885870.9924137224</v>
      </c>
      <c r="U44" s="451">
        <v>0</v>
      </c>
      <c r="V44" s="451">
        <v>4281264.1693183221</v>
      </c>
      <c r="W44" s="451">
        <v>3970964.96</v>
      </c>
      <c r="X44" s="451">
        <v>-7740</v>
      </c>
      <c r="Y44" s="451"/>
      <c r="Z44" s="451"/>
      <c r="AA44" s="456"/>
      <c r="AB44" s="451">
        <v>3963224.96</v>
      </c>
      <c r="AC44" s="451">
        <v>318039.20931832213</v>
      </c>
      <c r="AD44" s="451">
        <v>445.25489304565099</v>
      </c>
      <c r="AE44" s="457">
        <v>318484.46421136777</v>
      </c>
      <c r="AF44" s="451">
        <v>-76908.712693232344</v>
      </c>
      <c r="AG44" s="451">
        <v>395393.17690460011</v>
      </c>
      <c r="AH44" s="451">
        <v>318039.20931832213</v>
      </c>
      <c r="AI44" s="451">
        <v>186732.2950861009</v>
      </c>
      <c r="AJ44" s="451">
        <v>445.25489304565099</v>
      </c>
      <c r="AK44" s="462"/>
      <c r="AL44" s="453" t="s">
        <v>108</v>
      </c>
      <c r="AM44" s="451">
        <v>318484.46421136777</v>
      </c>
      <c r="AN44" s="453" t="s">
        <v>108</v>
      </c>
      <c r="AO44" s="453">
        <v>54</v>
      </c>
      <c r="AP44" s="453">
        <v>113</v>
      </c>
      <c r="AQ44" s="458">
        <v>8.1959608240504161E-2</v>
      </c>
      <c r="AS44" s="459" t="s">
        <v>104</v>
      </c>
      <c r="AT44" s="453" t="s">
        <v>104</v>
      </c>
      <c r="AU44" s="464" t="s">
        <v>173</v>
      </c>
      <c r="AV44" s="460" t="s">
        <v>36</v>
      </c>
      <c r="AW44" s="453" t="s">
        <v>1430</v>
      </c>
      <c r="BA44" s="464" t="str">
        <f>_xlfn.XLOOKUP(B44,'School List from APT'!A:A,'School List from APT'!C:C,"",FALSE)</f>
        <v>Arden Primary School</v>
      </c>
    </row>
    <row r="45" spans="1:53" x14ac:dyDescent="0.25">
      <c r="A45" s="453" t="s">
        <v>175</v>
      </c>
      <c r="B45" s="453">
        <v>2014</v>
      </c>
      <c r="C45" s="453">
        <v>2014</v>
      </c>
      <c r="D45" s="453" t="s">
        <v>176</v>
      </c>
      <c r="E45" s="453" t="s">
        <v>83</v>
      </c>
      <c r="F45" s="454" t="s">
        <v>162</v>
      </c>
      <c r="G45" s="454" t="s">
        <v>36</v>
      </c>
      <c r="H45" s="451">
        <v>642974.58262191166</v>
      </c>
      <c r="I45" s="451">
        <v>0</v>
      </c>
      <c r="J45" s="455">
        <v>642974.58262191166</v>
      </c>
      <c r="K45" s="451">
        <v>2001487.7142136618</v>
      </c>
      <c r="L45" s="451">
        <v>315423.32500000001</v>
      </c>
      <c r="M45" s="451">
        <v>-25370.50384615385</v>
      </c>
      <c r="N45" s="451">
        <v>2291540.5353675084</v>
      </c>
      <c r="O45" s="451">
        <v>4000</v>
      </c>
      <c r="P45" s="451">
        <v>0</v>
      </c>
      <c r="Q45" s="451">
        <v>0</v>
      </c>
      <c r="R45" s="451">
        <v>0</v>
      </c>
      <c r="S45" s="451">
        <v>4000</v>
      </c>
      <c r="T45" s="451">
        <v>2295540.5353675084</v>
      </c>
      <c r="U45" s="451">
        <v>0</v>
      </c>
      <c r="V45" s="451">
        <v>2938515.11798942</v>
      </c>
      <c r="W45" s="451">
        <v>2397337.06</v>
      </c>
      <c r="X45" s="451">
        <v>0</v>
      </c>
      <c r="Y45" s="451"/>
      <c r="Z45" s="451"/>
      <c r="AA45" s="456"/>
      <c r="AB45" s="451">
        <v>2397337.06</v>
      </c>
      <c r="AC45" s="451">
        <v>541178.0579894199</v>
      </c>
      <c r="AD45" s="451">
        <v>757.64928118518787</v>
      </c>
      <c r="AE45" s="457">
        <v>541935.70727060514</v>
      </c>
      <c r="AF45" s="451">
        <v>-101038.87535130652</v>
      </c>
      <c r="AG45" s="451">
        <v>642974.58262191166</v>
      </c>
      <c r="AH45" s="451">
        <v>541178.0579894199</v>
      </c>
      <c r="AI45" s="451">
        <v>114577.02676837542</v>
      </c>
      <c r="AJ45" s="451">
        <v>757.64928118518787</v>
      </c>
      <c r="AK45" s="462"/>
      <c r="AL45" s="453" t="s">
        <v>108</v>
      </c>
      <c r="AM45" s="451">
        <v>541935.70727060514</v>
      </c>
      <c r="AN45" s="453" t="s">
        <v>108</v>
      </c>
      <c r="AO45" s="453">
        <v>19</v>
      </c>
      <c r="AP45" s="453">
        <v>20</v>
      </c>
      <c r="AQ45" s="458">
        <v>0.23608195931240353</v>
      </c>
      <c r="AS45" s="459" t="s">
        <v>104</v>
      </c>
      <c r="AT45" s="453" t="s">
        <v>104</v>
      </c>
      <c r="AU45" s="464" t="s">
        <v>175</v>
      </c>
      <c r="AV45" s="460" t="s">
        <v>36</v>
      </c>
      <c r="AW45" s="453" t="s">
        <v>1430</v>
      </c>
      <c r="BA45" s="464" t="str">
        <f>_xlfn.XLOOKUP(B45,'School List from APT'!A:A,'School List from APT'!C:C,"",FALSE)</f>
        <v>Barford Primary School</v>
      </c>
    </row>
    <row r="46" spans="1:53" x14ac:dyDescent="0.25">
      <c r="A46" s="453" t="s">
        <v>177</v>
      </c>
      <c r="B46" s="453">
        <v>2239</v>
      </c>
      <c r="C46" s="453">
        <v>2239</v>
      </c>
      <c r="D46" s="453" t="s">
        <v>178</v>
      </c>
      <c r="E46" s="453" t="s">
        <v>83</v>
      </c>
      <c r="F46" s="454" t="s">
        <v>162</v>
      </c>
      <c r="G46" s="454" t="s">
        <v>36</v>
      </c>
      <c r="H46" s="451">
        <v>251826.2013116678</v>
      </c>
      <c r="I46" s="451">
        <v>0</v>
      </c>
      <c r="J46" s="455">
        <v>251826.2013116678</v>
      </c>
      <c r="K46" s="451">
        <v>1022983.3983233536</v>
      </c>
      <c r="L46" s="451">
        <v>180973.70500000002</v>
      </c>
      <c r="M46" s="451">
        <v>-9003.1973684210534</v>
      </c>
      <c r="N46" s="451">
        <v>1194953.9059549326</v>
      </c>
      <c r="O46" s="451">
        <v>10751.25</v>
      </c>
      <c r="P46" s="451">
        <v>0</v>
      </c>
      <c r="Q46" s="451">
        <v>0</v>
      </c>
      <c r="R46" s="451">
        <v>0</v>
      </c>
      <c r="S46" s="451">
        <v>10751.25</v>
      </c>
      <c r="T46" s="451">
        <v>1205705.1559549326</v>
      </c>
      <c r="U46" s="451">
        <v>0</v>
      </c>
      <c r="V46" s="451">
        <v>1457531.3572666002</v>
      </c>
      <c r="W46" s="451">
        <v>1217796.71</v>
      </c>
      <c r="X46" s="451">
        <v>-12965</v>
      </c>
      <c r="Y46" s="451"/>
      <c r="Z46" s="451"/>
      <c r="AA46" s="456"/>
      <c r="AB46" s="451">
        <v>1204831.71</v>
      </c>
      <c r="AC46" s="451">
        <v>252699.64726660028</v>
      </c>
      <c r="AD46" s="451">
        <v>352.55668183633492</v>
      </c>
      <c r="AE46" s="457">
        <v>253052.20394843663</v>
      </c>
      <c r="AF46" s="451">
        <v>1226.0026367688261</v>
      </c>
      <c r="AG46" s="451">
        <v>251826.2013116678</v>
      </c>
      <c r="AH46" s="451">
        <v>251826.2013116678</v>
      </c>
      <c r="AI46" s="451">
        <v>59747.695297746628</v>
      </c>
      <c r="AJ46" s="451">
        <v>352.55668183633492</v>
      </c>
      <c r="AK46" s="462"/>
      <c r="AL46" s="453" t="s">
        <v>108</v>
      </c>
      <c r="AM46" s="451">
        <v>253052.20394843663</v>
      </c>
      <c r="AN46" s="453" t="s">
        <v>108</v>
      </c>
      <c r="AO46" s="453">
        <v>75</v>
      </c>
      <c r="AP46" s="453">
        <v>33</v>
      </c>
      <c r="AQ46" s="458">
        <v>0.20987900955604388</v>
      </c>
      <c r="AS46" s="459" t="s">
        <v>104</v>
      </c>
      <c r="AT46" s="453" t="s">
        <v>104</v>
      </c>
      <c r="AU46" s="464" t="s">
        <v>177</v>
      </c>
      <c r="AV46" s="460" t="s">
        <v>36</v>
      </c>
      <c r="AW46" s="453" t="s">
        <v>1430</v>
      </c>
      <c r="BA46" s="464" t="str">
        <f>_xlfn.XLOOKUP(B46,'School List from APT'!A:A,'School List from APT'!C:C,"",FALSE)</f>
        <v>Bellfield Infant School (NC)</v>
      </c>
    </row>
    <row r="47" spans="1:53" x14ac:dyDescent="0.25">
      <c r="A47" s="453" t="s">
        <v>179</v>
      </c>
      <c r="B47" s="453">
        <v>2241</v>
      </c>
      <c r="C47" s="453">
        <v>2241</v>
      </c>
      <c r="D47" s="453" t="s">
        <v>180</v>
      </c>
      <c r="F47" s="454" t="s">
        <v>162</v>
      </c>
      <c r="G47" s="454" t="s">
        <v>36</v>
      </c>
      <c r="H47" s="451">
        <v>322588.4595884633</v>
      </c>
      <c r="I47" s="451">
        <v>0</v>
      </c>
      <c r="J47" s="455">
        <v>322588.4595884633</v>
      </c>
      <c r="K47" s="451">
        <v>1590999.2939595224</v>
      </c>
      <c r="L47" s="451">
        <v>286053.875</v>
      </c>
      <c r="M47" s="451">
        <v>0</v>
      </c>
      <c r="N47" s="451">
        <v>1877053.1689595224</v>
      </c>
      <c r="O47" s="451">
        <v>17873.381833333333</v>
      </c>
      <c r="P47" s="451">
        <v>0</v>
      </c>
      <c r="Q47" s="451">
        <v>0</v>
      </c>
      <c r="R47" s="451">
        <v>0</v>
      </c>
      <c r="S47" s="451">
        <v>17873.381833333333</v>
      </c>
      <c r="T47" s="451">
        <v>1894926.5507928557</v>
      </c>
      <c r="U47" s="451">
        <v>0</v>
      </c>
      <c r="V47" s="451">
        <v>2217515.0103813191</v>
      </c>
      <c r="W47" s="451">
        <v>1856794.72</v>
      </c>
      <c r="X47" s="451">
        <v>-2995</v>
      </c>
      <c r="Y47" s="451"/>
      <c r="Z47" s="451"/>
      <c r="AA47" s="456"/>
      <c r="AB47" s="451">
        <v>1853799.72</v>
      </c>
      <c r="AC47" s="451">
        <v>363715.29038131912</v>
      </c>
      <c r="AD47" s="451">
        <v>451.6238434238486</v>
      </c>
      <c r="AE47" s="457">
        <v>364166.91422474297</v>
      </c>
      <c r="AF47" s="451">
        <v>41578.454636279668</v>
      </c>
      <c r="AG47" s="451">
        <v>322588.4595884633</v>
      </c>
      <c r="AH47" s="451">
        <v>322588.4595884633</v>
      </c>
      <c r="AI47" s="451">
        <v>93852.658447976122</v>
      </c>
      <c r="AJ47" s="451">
        <v>451.6238434238486</v>
      </c>
      <c r="AK47" s="462"/>
      <c r="AL47" s="453" t="s">
        <v>108</v>
      </c>
      <c r="AM47" s="451">
        <v>364166.91422474297</v>
      </c>
      <c r="AN47" s="453" t="s">
        <v>108</v>
      </c>
      <c r="AO47" s="453">
        <v>42</v>
      </c>
      <c r="AP47" s="453">
        <v>40</v>
      </c>
      <c r="AQ47" s="458">
        <v>0.19217996289743894</v>
      </c>
      <c r="AS47" s="459" t="s">
        <v>104</v>
      </c>
      <c r="AT47" s="453" t="s">
        <v>104</v>
      </c>
      <c r="AU47" s="464" t="s">
        <v>179</v>
      </c>
      <c r="AV47" s="460" t="s">
        <v>36</v>
      </c>
      <c r="AW47" s="453" t="s">
        <v>1430</v>
      </c>
      <c r="BA47" s="464" t="str">
        <f>_xlfn.XLOOKUP(B47,'School List from APT'!A:A,'School List from APT'!C:C,"",FALSE)</f>
        <v>Bellfield Junior School</v>
      </c>
    </row>
    <row r="48" spans="1:53" x14ac:dyDescent="0.25">
      <c r="A48" s="453" t="s">
        <v>181</v>
      </c>
      <c r="B48" s="453">
        <v>2456</v>
      </c>
      <c r="C48" s="453">
        <v>2456</v>
      </c>
      <c r="D48" s="453" t="s">
        <v>182</v>
      </c>
      <c r="F48" s="454" t="s">
        <v>162</v>
      </c>
      <c r="G48" s="454" t="s">
        <v>36</v>
      </c>
      <c r="H48" s="451">
        <v>56771.832283382071</v>
      </c>
      <c r="I48" s="451">
        <v>0</v>
      </c>
      <c r="J48" s="455">
        <v>56771.832283382071</v>
      </c>
      <c r="K48" s="451">
        <v>1144426.130040203</v>
      </c>
      <c r="L48" s="451">
        <v>194823.125</v>
      </c>
      <c r="M48" s="451">
        <v>0</v>
      </c>
      <c r="N48" s="451">
        <v>1339249.255040203</v>
      </c>
      <c r="O48" s="451">
        <v>4615.92</v>
      </c>
      <c r="P48" s="451">
        <v>0</v>
      </c>
      <c r="Q48" s="451">
        <v>0</v>
      </c>
      <c r="R48" s="451">
        <v>0</v>
      </c>
      <c r="S48" s="451">
        <v>4615.92</v>
      </c>
      <c r="T48" s="451">
        <v>1343865.1750402029</v>
      </c>
      <c r="U48" s="451">
        <v>0</v>
      </c>
      <c r="V48" s="451">
        <v>1400637.007323585</v>
      </c>
      <c r="W48" s="451">
        <v>1288323</v>
      </c>
      <c r="X48" s="451">
        <v>-7105.6</v>
      </c>
      <c r="Y48" s="451"/>
      <c r="Z48" s="451"/>
      <c r="AA48" s="456"/>
      <c r="AB48" s="451">
        <v>1281217.3999999999</v>
      </c>
      <c r="AC48" s="451">
        <v>119419.60732358508</v>
      </c>
      <c r="AD48" s="451">
        <v>79.480565196734901</v>
      </c>
      <c r="AE48" s="457">
        <v>119499.08788878181</v>
      </c>
      <c r="AF48" s="451">
        <v>62727.25560539974</v>
      </c>
      <c r="AG48" s="451">
        <v>56771.832283382071</v>
      </c>
      <c r="AH48" s="451">
        <v>56771.832283382071</v>
      </c>
      <c r="AI48" s="451">
        <v>66962.462752010149</v>
      </c>
      <c r="AJ48" s="451">
        <v>79.480565196734901</v>
      </c>
      <c r="AK48" s="462"/>
      <c r="AL48" s="453" t="s">
        <v>108</v>
      </c>
      <c r="AM48" s="451">
        <v>119499.08788878181</v>
      </c>
      <c r="AN48" s="453" t="s">
        <v>108</v>
      </c>
      <c r="AO48" s="453">
        <v>116</v>
      </c>
      <c r="AP48" s="453">
        <v>107</v>
      </c>
      <c r="AQ48" s="458">
        <v>8.892193213147806E-2</v>
      </c>
      <c r="AS48" s="459" t="s">
        <v>104</v>
      </c>
      <c r="AT48" s="453" t="s">
        <v>104</v>
      </c>
      <c r="AU48" s="464" t="s">
        <v>181</v>
      </c>
      <c r="AV48" s="460" t="s">
        <v>36</v>
      </c>
      <c r="AW48" s="453" t="s">
        <v>1430</v>
      </c>
      <c r="BA48" s="464" t="str">
        <f>_xlfn.XLOOKUP(B48,'School List from APT'!A:A,'School List from APT'!C:C,"",FALSE)</f>
        <v>Bells Farm Primary School</v>
      </c>
    </row>
    <row r="49" spans="1:53" x14ac:dyDescent="0.25">
      <c r="A49" s="453" t="s">
        <v>183</v>
      </c>
      <c r="B49" s="453">
        <v>2435</v>
      </c>
      <c r="C49" s="453">
        <v>2435</v>
      </c>
      <c r="D49" s="453" t="s">
        <v>184</v>
      </c>
      <c r="E49" s="453" t="s">
        <v>83</v>
      </c>
      <c r="F49" s="454" t="s">
        <v>162</v>
      </c>
      <c r="G49" s="454" t="s">
        <v>36</v>
      </c>
      <c r="H49" s="451">
        <v>675154.09001073462</v>
      </c>
      <c r="I49" s="451">
        <v>0</v>
      </c>
      <c r="J49" s="455">
        <v>675154.09001073462</v>
      </c>
      <c r="K49" s="451">
        <v>2254141.928261837</v>
      </c>
      <c r="L49" s="451">
        <v>449785.875</v>
      </c>
      <c r="M49" s="451">
        <v>-3602.1230769230751</v>
      </c>
      <c r="N49" s="451">
        <v>2700325.6801849138</v>
      </c>
      <c r="O49" s="451">
        <v>63023.500166666665</v>
      </c>
      <c r="P49" s="451">
        <v>0</v>
      </c>
      <c r="Q49" s="451">
        <v>0</v>
      </c>
      <c r="R49" s="451">
        <v>0</v>
      </c>
      <c r="S49" s="451">
        <v>63023.500166666665</v>
      </c>
      <c r="T49" s="451">
        <v>2763349.1803515805</v>
      </c>
      <c r="U49" s="451">
        <v>0</v>
      </c>
      <c r="V49" s="451">
        <v>3438503.2703623152</v>
      </c>
      <c r="W49" s="451">
        <v>2894489.66</v>
      </c>
      <c r="X49" s="451">
        <v>-38995</v>
      </c>
      <c r="Y49" s="451"/>
      <c r="Z49" s="451"/>
      <c r="AA49" s="456"/>
      <c r="AB49" s="451">
        <v>2855494.66</v>
      </c>
      <c r="AC49" s="451">
        <v>583008.61036231508</v>
      </c>
      <c r="AD49" s="451">
        <v>816.21205450724119</v>
      </c>
      <c r="AE49" s="457">
        <v>583824.82241682231</v>
      </c>
      <c r="AF49" s="451">
        <v>-91329.267593912315</v>
      </c>
      <c r="AG49" s="451">
        <v>675154.09001073462</v>
      </c>
      <c r="AH49" s="451">
        <v>583008.61036231508</v>
      </c>
      <c r="AI49" s="451">
        <v>135016.28400924569</v>
      </c>
      <c r="AJ49" s="451">
        <v>816.21205450724119</v>
      </c>
      <c r="AK49" s="462"/>
      <c r="AL49" s="453" t="s">
        <v>108</v>
      </c>
      <c r="AM49" s="451">
        <v>583824.82241682231</v>
      </c>
      <c r="AN49" s="453" t="s">
        <v>108</v>
      </c>
      <c r="AO49" s="453">
        <v>16</v>
      </c>
      <c r="AP49" s="453">
        <v>32</v>
      </c>
      <c r="AQ49" s="458">
        <v>0.21127435742396564</v>
      </c>
      <c r="AS49" s="459" t="s">
        <v>104</v>
      </c>
      <c r="AT49" s="453" t="s">
        <v>104</v>
      </c>
      <c r="AU49" s="464" t="s">
        <v>183</v>
      </c>
      <c r="AV49" s="460" t="s">
        <v>36</v>
      </c>
      <c r="AW49" s="453" t="s">
        <v>1430</v>
      </c>
      <c r="BA49" s="464" t="str">
        <f>_xlfn.XLOOKUP(B49,'School List from APT'!A:A,'School List from APT'!C:C,"",FALSE)</f>
        <v>Benson Community School</v>
      </c>
    </row>
    <row r="50" spans="1:53" x14ac:dyDescent="0.25">
      <c r="A50" s="453" t="s">
        <v>185</v>
      </c>
      <c r="B50" s="453">
        <v>2025</v>
      </c>
      <c r="C50" s="453">
        <v>2025</v>
      </c>
      <c r="D50" s="453" t="s">
        <v>186</v>
      </c>
      <c r="E50" s="453" t="s">
        <v>83</v>
      </c>
      <c r="F50" s="454" t="s">
        <v>162</v>
      </c>
      <c r="G50" s="454" t="s">
        <v>36</v>
      </c>
      <c r="H50" s="451">
        <v>76122.745268173021</v>
      </c>
      <c r="I50" s="451">
        <v>0</v>
      </c>
      <c r="J50" s="455">
        <v>76122.745268173021</v>
      </c>
      <c r="K50" s="451">
        <v>1141689.5353673494</v>
      </c>
      <c r="L50" s="451">
        <v>172605.625</v>
      </c>
      <c r="M50" s="451">
        <v>29115.216000000015</v>
      </c>
      <c r="N50" s="451">
        <v>1343410.3763673494</v>
      </c>
      <c r="O50" s="451">
        <v>25100</v>
      </c>
      <c r="P50" s="451">
        <v>0</v>
      </c>
      <c r="Q50" s="451">
        <v>0</v>
      </c>
      <c r="R50" s="451">
        <v>0</v>
      </c>
      <c r="S50" s="451">
        <v>25100</v>
      </c>
      <c r="T50" s="451">
        <v>1368510.3763673494</v>
      </c>
      <c r="U50" s="451">
        <v>0</v>
      </c>
      <c r="V50" s="451">
        <v>1444633.1216355225</v>
      </c>
      <c r="W50" s="451">
        <v>1381002.07</v>
      </c>
      <c r="X50" s="451">
        <v>-800</v>
      </c>
      <c r="Y50" s="451"/>
      <c r="Z50" s="451"/>
      <c r="AA50" s="456"/>
      <c r="AB50" s="451">
        <v>1380202.07</v>
      </c>
      <c r="AC50" s="451">
        <v>64431.051635522395</v>
      </c>
      <c r="AD50" s="451">
        <v>90.203472289731351</v>
      </c>
      <c r="AE50" s="457">
        <v>64521.255107812125</v>
      </c>
      <c r="AF50" s="451">
        <v>-11601.490160360896</v>
      </c>
      <c r="AG50" s="451">
        <v>76122.745268173021</v>
      </c>
      <c r="AH50" s="451">
        <v>64431.051635522395</v>
      </c>
      <c r="AI50" s="451">
        <v>67170.518818367476</v>
      </c>
      <c r="AJ50" s="451">
        <v>90.203472289731351</v>
      </c>
      <c r="AK50" s="462"/>
      <c r="AL50" s="453" t="s">
        <v>108</v>
      </c>
      <c r="AM50" s="451">
        <v>64521.255107812125</v>
      </c>
      <c r="AN50" s="453" t="s">
        <v>108</v>
      </c>
      <c r="AO50" s="453">
        <v>136</v>
      </c>
      <c r="AP50" s="453">
        <v>133</v>
      </c>
      <c r="AQ50" s="458">
        <v>4.714707043660199E-2</v>
      </c>
      <c r="AS50" s="459" t="s">
        <v>104</v>
      </c>
      <c r="AT50" s="453" t="s">
        <v>104</v>
      </c>
      <c r="AU50" s="464" t="s">
        <v>185</v>
      </c>
      <c r="AV50" s="460" t="s">
        <v>36</v>
      </c>
      <c r="AW50" s="453" t="s">
        <v>1430</v>
      </c>
      <c r="BA50" s="464" t="str">
        <f>_xlfn.XLOOKUP(B50,'School List from APT'!A:A,'School List from APT'!C:C,"",FALSE)</f>
        <v>Birches Green Infant School</v>
      </c>
    </row>
    <row r="51" spans="1:53" x14ac:dyDescent="0.25">
      <c r="A51" s="453" t="s">
        <v>187</v>
      </c>
      <c r="B51" s="453">
        <v>2024</v>
      </c>
      <c r="C51" s="453">
        <v>2024</v>
      </c>
      <c r="D51" s="453" t="s">
        <v>188</v>
      </c>
      <c r="E51" s="453"/>
      <c r="F51" s="454" t="s">
        <v>857</v>
      </c>
      <c r="G51" s="454" t="s">
        <v>36</v>
      </c>
      <c r="H51" s="451">
        <v>114649.04768656103</v>
      </c>
      <c r="I51" s="451">
        <v>0</v>
      </c>
      <c r="J51" s="455">
        <v>114649.04768656103</v>
      </c>
      <c r="K51" s="451">
        <v>1050957.1692280001</v>
      </c>
      <c r="L51" s="451">
        <v>220535</v>
      </c>
      <c r="M51" s="451">
        <v>0</v>
      </c>
      <c r="N51" s="451">
        <v>1271492.1692280001</v>
      </c>
      <c r="O51" s="451">
        <v>8103.982</v>
      </c>
      <c r="P51" s="451">
        <v>0</v>
      </c>
      <c r="Q51" s="451">
        <v>0</v>
      </c>
      <c r="R51" s="451">
        <v>0</v>
      </c>
      <c r="S51" s="451">
        <v>8103.982</v>
      </c>
      <c r="T51" s="451">
        <v>1279596.1512280002</v>
      </c>
      <c r="U51" s="451">
        <v>0</v>
      </c>
      <c r="V51" s="451">
        <v>1394245.1989145612</v>
      </c>
      <c r="W51" s="451">
        <v>1382474.9</v>
      </c>
      <c r="X51" s="451">
        <v>-1524.5</v>
      </c>
      <c r="Y51" s="451"/>
      <c r="Z51" s="451"/>
      <c r="AA51" s="456"/>
      <c r="AB51" s="451">
        <v>1380950.4</v>
      </c>
      <c r="AC51" s="451">
        <v>13294.798914561281</v>
      </c>
      <c r="AD51" s="451">
        <v>18.612718480385794</v>
      </c>
      <c r="AE51" s="457">
        <v>13313.411633041667</v>
      </c>
      <c r="AF51" s="451">
        <v>-101335.63605351935</v>
      </c>
      <c r="AG51" s="451">
        <v>114649.04768656103</v>
      </c>
      <c r="AH51" s="451">
        <v>13294.798914561281</v>
      </c>
      <c r="AI51" s="451">
        <v>63574.608461400006</v>
      </c>
      <c r="AJ51" s="451">
        <v>18.612718480385794</v>
      </c>
      <c r="AK51" s="462"/>
      <c r="AL51" s="453" t="s">
        <v>1432</v>
      </c>
      <c r="AM51" s="451">
        <v>13313.411633041667</v>
      </c>
      <c r="AN51" s="453" t="s">
        <v>1432</v>
      </c>
      <c r="AO51" s="453">
        <v>145</v>
      </c>
      <c r="AP51" s="453">
        <v>147</v>
      </c>
      <c r="AQ51" s="458">
        <v>1.0404385493239472E-2</v>
      </c>
      <c r="AR51" s="453"/>
      <c r="AS51" s="459" t="s">
        <v>104</v>
      </c>
      <c r="AT51" s="453" t="s">
        <v>104</v>
      </c>
      <c r="AU51" s="453" t="s">
        <v>187</v>
      </c>
      <c r="AV51" s="460" t="s">
        <v>36</v>
      </c>
      <c r="AW51" s="453" t="s">
        <v>1433</v>
      </c>
      <c r="BA51" s="464" t="str">
        <f>_xlfn.XLOOKUP(B51,'School List from APT'!A:A,'School List from APT'!C:C,"",FALSE)</f>
        <v>Birches Green Junior School</v>
      </c>
    </row>
    <row r="52" spans="1:53" x14ac:dyDescent="0.25">
      <c r="A52" s="453" t="s">
        <v>189</v>
      </c>
      <c r="B52" s="453">
        <v>2254</v>
      </c>
      <c r="C52" s="453">
        <v>2254</v>
      </c>
      <c r="D52" s="453" t="s">
        <v>190</v>
      </c>
      <c r="F52" s="454" t="s">
        <v>162</v>
      </c>
      <c r="G52" s="454" t="s">
        <v>107</v>
      </c>
      <c r="H52" s="451">
        <v>99620.348194065504</v>
      </c>
      <c r="I52" s="451">
        <v>1.8059345020446926E-3</v>
      </c>
      <c r="J52" s="455">
        <v>99620.35</v>
      </c>
      <c r="K52" s="451">
        <v>2905421.1904603611</v>
      </c>
      <c r="L52" s="451">
        <v>453776.125</v>
      </c>
      <c r="M52" s="451">
        <v>0</v>
      </c>
      <c r="N52" s="451">
        <v>3359197.3154603611</v>
      </c>
      <c r="O52" s="451">
        <v>72702.859666666671</v>
      </c>
      <c r="P52" s="451">
        <v>0</v>
      </c>
      <c r="Q52" s="451">
        <v>0</v>
      </c>
      <c r="R52" s="451">
        <v>0</v>
      </c>
      <c r="S52" s="451">
        <v>72702.859666666671</v>
      </c>
      <c r="T52" s="451">
        <v>3431900.1751270276</v>
      </c>
      <c r="U52" s="451">
        <v>0</v>
      </c>
      <c r="V52" s="451">
        <v>3531520.5251270276</v>
      </c>
      <c r="W52" s="451">
        <v>3669475.14</v>
      </c>
      <c r="X52" s="451">
        <v>0</v>
      </c>
      <c r="Y52" s="451"/>
      <c r="Z52" s="451"/>
      <c r="AA52" s="456"/>
      <c r="AB52" s="451">
        <v>3669475.14</v>
      </c>
      <c r="AC52" s="451">
        <v>-137954.61487297248</v>
      </c>
      <c r="AD52" s="451">
        <v>0</v>
      </c>
      <c r="AE52" s="457">
        <v>-137954.61487297248</v>
      </c>
      <c r="AF52" s="451">
        <v>-237574.96487297249</v>
      </c>
      <c r="AG52" s="451">
        <v>99620.35</v>
      </c>
      <c r="AH52" s="451">
        <v>0</v>
      </c>
      <c r="AI52" s="451">
        <v>0</v>
      </c>
      <c r="AJ52" s="451">
        <v>0</v>
      </c>
      <c r="AK52" s="462"/>
      <c r="AL52" s="453" t="s">
        <v>103</v>
      </c>
      <c r="AM52" s="451">
        <v>-137954.61487297248</v>
      </c>
      <c r="AN52" s="453" t="s">
        <v>103</v>
      </c>
      <c r="AO52" s="453">
        <v>163</v>
      </c>
      <c r="AP52" s="453">
        <v>156</v>
      </c>
      <c r="AQ52" s="458">
        <v>-4.0197735316664991E-2</v>
      </c>
      <c r="AS52" s="459" t="s">
        <v>104</v>
      </c>
      <c r="AT52" s="453" t="s">
        <v>109</v>
      </c>
      <c r="AU52" s="464" t="s">
        <v>189</v>
      </c>
      <c r="AV52" s="460" t="s">
        <v>36</v>
      </c>
      <c r="AW52" s="453" t="s">
        <v>1431</v>
      </c>
      <c r="BA52" s="464" t="str">
        <f>_xlfn.XLOOKUP(B52,'School List from APT'!A:A,'School List from APT'!C:C,"",FALSE)</f>
        <v>Blakesley Hall Primary School</v>
      </c>
    </row>
    <row r="53" spans="1:53" x14ac:dyDescent="0.25">
      <c r="A53" s="453" t="s">
        <v>191</v>
      </c>
      <c r="B53" s="453">
        <v>2402</v>
      </c>
      <c r="C53" s="453">
        <v>2402</v>
      </c>
      <c r="D53" s="453" t="s">
        <v>192</v>
      </c>
      <c r="E53" s="453" t="s">
        <v>83</v>
      </c>
      <c r="F53" s="454" t="s">
        <v>162</v>
      </c>
      <c r="G53" s="454" t="s">
        <v>107</v>
      </c>
      <c r="H53" s="451">
        <v>340235.85921269027</v>
      </c>
      <c r="I53" s="451">
        <v>-2253.8292126902379</v>
      </c>
      <c r="J53" s="455">
        <v>337982.03</v>
      </c>
      <c r="K53" s="451">
        <v>1483272.7683072926</v>
      </c>
      <c r="L53" s="451">
        <v>201463.625</v>
      </c>
      <c r="M53" s="451">
        <v>-3564.3317307692341</v>
      </c>
      <c r="N53" s="451">
        <v>1681172.0615765234</v>
      </c>
      <c r="O53" s="451">
        <v>150646.61608333333</v>
      </c>
      <c r="P53" s="451">
        <v>0</v>
      </c>
      <c r="Q53" s="451">
        <v>0</v>
      </c>
      <c r="R53" s="451">
        <v>0</v>
      </c>
      <c r="S53" s="451">
        <v>150646.61608333333</v>
      </c>
      <c r="T53" s="451">
        <v>1831818.6776598566</v>
      </c>
      <c r="U53" s="451">
        <v>0</v>
      </c>
      <c r="V53" s="451">
        <v>2169800.7076598564</v>
      </c>
      <c r="W53" s="451">
        <v>1894616.53</v>
      </c>
      <c r="X53" s="451">
        <v>0</v>
      </c>
      <c r="Y53" s="451"/>
      <c r="Z53" s="451"/>
      <c r="AA53" s="493"/>
      <c r="AB53" s="451">
        <v>1894616.53</v>
      </c>
      <c r="AC53" s="451">
        <v>275184.17765985639</v>
      </c>
      <c r="AD53" s="451">
        <v>0</v>
      </c>
      <c r="AE53" s="457">
        <v>275184.17765985639</v>
      </c>
      <c r="AF53" s="451">
        <v>-62797.85234014364</v>
      </c>
      <c r="AG53" s="451">
        <v>337982.03</v>
      </c>
      <c r="AH53" s="451">
        <v>0</v>
      </c>
      <c r="AI53" s="451">
        <v>0</v>
      </c>
      <c r="AJ53" s="451">
        <v>0</v>
      </c>
      <c r="AK53" s="462"/>
      <c r="AL53" s="453" t="s">
        <v>108</v>
      </c>
      <c r="AM53" s="451">
        <v>275184.17765985639</v>
      </c>
      <c r="AN53" s="453" t="s">
        <v>108</v>
      </c>
      <c r="AO53" s="453">
        <v>67</v>
      </c>
      <c r="AP53" s="453">
        <v>65</v>
      </c>
      <c r="AQ53" s="458">
        <v>0.1502245724513539</v>
      </c>
      <c r="AS53" s="459" t="s">
        <v>104</v>
      </c>
      <c r="AT53" s="453" t="s">
        <v>109</v>
      </c>
      <c r="AU53" s="464" t="s">
        <v>191</v>
      </c>
      <c r="AV53" s="460" t="s">
        <v>36</v>
      </c>
      <c r="AW53" s="453" t="s">
        <v>1431</v>
      </c>
      <c r="BA53" s="464" t="str">
        <f>_xlfn.XLOOKUP(B53,'School List from APT'!A:A,'School List from APT'!C:C,"",FALSE)</f>
        <v>Boldmere Infant School and Nursery</v>
      </c>
    </row>
    <row r="54" spans="1:53" x14ac:dyDescent="0.25">
      <c r="A54" s="453" t="s">
        <v>193</v>
      </c>
      <c r="B54" s="453">
        <v>2401</v>
      </c>
      <c r="C54" s="453">
        <v>2401</v>
      </c>
      <c r="D54" s="453" t="s">
        <v>194</v>
      </c>
      <c r="F54" s="454" t="s">
        <v>162</v>
      </c>
      <c r="G54" s="454" t="s">
        <v>107</v>
      </c>
      <c r="H54" s="451">
        <v>209982.75122410478</v>
      </c>
      <c r="I54" s="451">
        <v>-1.224104780703783E-3</v>
      </c>
      <c r="J54" s="455">
        <v>209982.75</v>
      </c>
      <c r="K54" s="451">
        <v>1545985.19</v>
      </c>
      <c r="L54" s="451">
        <v>117665.375</v>
      </c>
      <c r="M54" s="451">
        <v>0</v>
      </c>
      <c r="N54" s="451">
        <v>1663650.5649999999</v>
      </c>
      <c r="O54" s="451">
        <v>18779.554666666667</v>
      </c>
      <c r="P54" s="451">
        <v>0</v>
      </c>
      <c r="Q54" s="451">
        <v>0</v>
      </c>
      <c r="R54" s="451">
        <v>0</v>
      </c>
      <c r="S54" s="451">
        <v>18779.554666666667</v>
      </c>
      <c r="T54" s="451">
        <v>1682430.1196666667</v>
      </c>
      <c r="U54" s="451">
        <v>0</v>
      </c>
      <c r="V54" s="451">
        <v>1892412.8696666667</v>
      </c>
      <c r="W54" s="451">
        <v>1756404.23</v>
      </c>
      <c r="X54" s="451">
        <v>0</v>
      </c>
      <c r="Y54" s="451"/>
      <c r="Z54" s="451"/>
      <c r="AA54" s="456"/>
      <c r="AB54" s="451">
        <v>1756404.23</v>
      </c>
      <c r="AC54" s="451">
        <v>136008.63966666674</v>
      </c>
      <c r="AD54" s="451">
        <v>0</v>
      </c>
      <c r="AE54" s="457">
        <v>136008.63966666674</v>
      </c>
      <c r="AF54" s="451">
        <v>-73974.110333333258</v>
      </c>
      <c r="AG54" s="451">
        <v>209982.75</v>
      </c>
      <c r="AH54" s="451">
        <v>0</v>
      </c>
      <c r="AI54" s="451">
        <v>0</v>
      </c>
      <c r="AJ54" s="451">
        <v>0</v>
      </c>
      <c r="AK54" s="462"/>
      <c r="AL54" s="453" t="s">
        <v>108</v>
      </c>
      <c r="AM54" s="451">
        <v>136008.63966666674</v>
      </c>
      <c r="AN54" s="453" t="s">
        <v>108</v>
      </c>
      <c r="AO54" s="453">
        <v>107</v>
      </c>
      <c r="AP54" s="453">
        <v>115</v>
      </c>
      <c r="AQ54" s="458">
        <v>8.0840587717018283E-2</v>
      </c>
      <c r="AS54" s="459" t="s">
        <v>104</v>
      </c>
      <c r="AT54" s="453" t="s">
        <v>109</v>
      </c>
      <c r="AU54" s="464" t="s">
        <v>193</v>
      </c>
      <c r="AV54" s="460" t="s">
        <v>36</v>
      </c>
      <c r="AW54" s="453" t="s">
        <v>1431</v>
      </c>
      <c r="BA54" s="464" t="str">
        <f>_xlfn.XLOOKUP(B54,'School List from APT'!A:A,'School List from APT'!C:C,"",FALSE)</f>
        <v>Boldmere Junior School</v>
      </c>
    </row>
    <row r="55" spans="1:53" x14ac:dyDescent="0.25">
      <c r="A55" s="453" t="s">
        <v>195</v>
      </c>
      <c r="B55" s="453">
        <v>2030</v>
      </c>
      <c r="C55" s="453">
        <v>2030</v>
      </c>
      <c r="D55" s="453" t="s">
        <v>196</v>
      </c>
      <c r="E55" s="453" t="s">
        <v>83</v>
      </c>
      <c r="F55" s="454" t="s">
        <v>162</v>
      </c>
      <c r="G55" s="454" t="s">
        <v>107</v>
      </c>
      <c r="H55" s="451">
        <v>265802.81661687791</v>
      </c>
      <c r="I55" s="451">
        <v>161598.00338312209</v>
      </c>
      <c r="J55" s="455">
        <v>427400.82</v>
      </c>
      <c r="K55" s="451">
        <v>3060315.582314013</v>
      </c>
      <c r="L55" s="451">
        <v>473595.5</v>
      </c>
      <c r="M55" s="451">
        <v>-4828.2000000000116</v>
      </c>
      <c r="N55" s="451">
        <v>3529082.8823140129</v>
      </c>
      <c r="O55" s="451">
        <v>38449.71908333333</v>
      </c>
      <c r="P55" s="451">
        <v>0</v>
      </c>
      <c r="Q55" s="451">
        <v>0</v>
      </c>
      <c r="R55" s="451">
        <v>0</v>
      </c>
      <c r="S55" s="451">
        <v>38449.71908333333</v>
      </c>
      <c r="T55" s="451">
        <v>3567532.6013973462</v>
      </c>
      <c r="U55" s="451">
        <v>0</v>
      </c>
      <c r="V55" s="451">
        <v>3994933.4213973461</v>
      </c>
      <c r="W55" s="451">
        <v>3642835.46</v>
      </c>
      <c r="X55" s="451">
        <v>0</v>
      </c>
      <c r="Y55" s="451"/>
      <c r="Z55" s="451"/>
      <c r="AA55" s="456"/>
      <c r="AB55" s="451">
        <v>3642835.46</v>
      </c>
      <c r="AC55" s="451">
        <v>352097.96139734611</v>
      </c>
      <c r="AD55" s="451">
        <v>0</v>
      </c>
      <c r="AE55" s="457">
        <v>352097.96139734611</v>
      </c>
      <c r="AF55" s="451">
        <v>-75302.858602653898</v>
      </c>
      <c r="AG55" s="451">
        <v>427400.82</v>
      </c>
      <c r="AH55" s="451">
        <v>0</v>
      </c>
      <c r="AI55" s="451">
        <v>0</v>
      </c>
      <c r="AJ55" s="451">
        <v>0</v>
      </c>
      <c r="AK55" s="462"/>
      <c r="AL55" s="453" t="s">
        <v>108</v>
      </c>
      <c r="AM55" s="451">
        <v>352097.96139734611</v>
      </c>
      <c r="AN55" s="453" t="s">
        <v>108</v>
      </c>
      <c r="AO55" s="453">
        <v>44</v>
      </c>
      <c r="AP55" s="453">
        <v>101</v>
      </c>
      <c r="AQ55" s="458">
        <v>9.8695092865986669E-2</v>
      </c>
      <c r="AS55" s="459" t="s">
        <v>104</v>
      </c>
      <c r="AT55" s="453" t="s">
        <v>109</v>
      </c>
      <c r="AU55" s="464" t="s">
        <v>195</v>
      </c>
      <c r="AV55" s="460" t="s">
        <v>36</v>
      </c>
      <c r="AW55" s="453" t="s">
        <v>1431</v>
      </c>
      <c r="BA55" s="464" t="str">
        <f>_xlfn.XLOOKUP(B55,'School List from APT'!A:A,'School List from APT'!C:C,"",FALSE)</f>
        <v>Bordesley Green Primary School</v>
      </c>
    </row>
    <row r="56" spans="1:53" x14ac:dyDescent="0.25">
      <c r="A56" s="453" t="s">
        <v>197</v>
      </c>
      <c r="B56" s="453">
        <v>3353</v>
      </c>
      <c r="C56" s="453">
        <v>3353</v>
      </c>
      <c r="D56" s="453" t="s">
        <v>198</v>
      </c>
      <c r="E56" s="453"/>
      <c r="F56" s="454" t="s">
        <v>162</v>
      </c>
      <c r="G56" s="454" t="s">
        <v>36</v>
      </c>
      <c r="H56" s="451">
        <v>416572.39026960288</v>
      </c>
      <c r="I56" s="451">
        <v>0</v>
      </c>
      <c r="J56" s="455">
        <v>416572.39026960288</v>
      </c>
      <c r="K56" s="451">
        <v>2721394.95</v>
      </c>
      <c r="L56" s="451">
        <v>309607.5</v>
      </c>
      <c r="M56" s="451">
        <v>0</v>
      </c>
      <c r="N56" s="451">
        <v>3031002.45</v>
      </c>
      <c r="O56" s="451">
        <v>49786.747499999998</v>
      </c>
      <c r="P56" s="451">
        <v>0</v>
      </c>
      <c r="Q56" s="451">
        <v>0</v>
      </c>
      <c r="R56" s="451">
        <v>0</v>
      </c>
      <c r="S56" s="451">
        <v>49786.747499999998</v>
      </c>
      <c r="T56" s="451">
        <v>3080789.1975000002</v>
      </c>
      <c r="U56" s="451">
        <v>0</v>
      </c>
      <c r="V56" s="451">
        <v>3497361.5877696034</v>
      </c>
      <c r="W56" s="451">
        <v>3032954.42</v>
      </c>
      <c r="X56" s="451">
        <v>0</v>
      </c>
      <c r="Y56" s="451"/>
      <c r="Z56" s="451"/>
      <c r="AA56" s="456"/>
      <c r="AB56" s="451">
        <v>3032954.42</v>
      </c>
      <c r="AC56" s="451">
        <v>464407.16776960343</v>
      </c>
      <c r="AD56" s="451">
        <v>583.201346377444</v>
      </c>
      <c r="AE56" s="457">
        <v>464990.36911598087</v>
      </c>
      <c r="AF56" s="451">
        <v>48417.978846377984</v>
      </c>
      <c r="AG56" s="451">
        <v>416572.39026960288</v>
      </c>
      <c r="AH56" s="451">
        <v>416572.39026960288</v>
      </c>
      <c r="AI56" s="451">
        <v>151550.12250000003</v>
      </c>
      <c r="AJ56" s="451">
        <v>583.201346377444</v>
      </c>
      <c r="AK56" s="462"/>
      <c r="AL56" s="453" t="s">
        <v>108</v>
      </c>
      <c r="AM56" s="451">
        <v>464990.36911598087</v>
      </c>
      <c r="AN56" s="453" t="s">
        <v>108</v>
      </c>
      <c r="AO56" s="453">
        <v>30</v>
      </c>
      <c r="AP56" s="453">
        <v>63</v>
      </c>
      <c r="AQ56" s="458">
        <v>0.15093222525361727</v>
      </c>
      <c r="AR56" s="453"/>
      <c r="AS56" s="459" t="s">
        <v>104</v>
      </c>
      <c r="AT56" s="453" t="s">
        <v>104</v>
      </c>
      <c r="AU56" s="453" t="s">
        <v>197</v>
      </c>
      <c r="AV56" s="460"/>
      <c r="AW56" s="453" t="s">
        <v>1430</v>
      </c>
      <c r="BA56" s="464" t="str">
        <f>_xlfn.XLOOKUP(B56,'School List from APT'!A:A,'School List from APT'!C:C,"",FALSE)</f>
        <v>Bournville Village Primary</v>
      </c>
    </row>
    <row r="57" spans="1:53" x14ac:dyDescent="0.25">
      <c r="A57" s="453" t="s">
        <v>199</v>
      </c>
      <c r="B57" s="453">
        <v>2238</v>
      </c>
      <c r="C57" s="453">
        <v>2238</v>
      </c>
      <c r="D57" s="453" t="s">
        <v>200</v>
      </c>
      <c r="E57" s="453" t="s">
        <v>83</v>
      </c>
      <c r="F57" s="454" t="s">
        <v>162</v>
      </c>
      <c r="G57" s="454" t="s">
        <v>107</v>
      </c>
      <c r="H57" s="451">
        <v>241091.40278007765</v>
      </c>
      <c r="I57" s="451">
        <v>-15944.47278007766</v>
      </c>
      <c r="J57" s="455">
        <v>225146.93</v>
      </c>
      <c r="K57" s="451">
        <v>974312.25008676411</v>
      </c>
      <c r="L57" s="451">
        <v>170353.875</v>
      </c>
      <c r="M57" s="451">
        <v>5076.2750000000087</v>
      </c>
      <c r="N57" s="451">
        <v>1149742.400086764</v>
      </c>
      <c r="O57" s="451">
        <v>0</v>
      </c>
      <c r="P57" s="451">
        <v>0</v>
      </c>
      <c r="Q57" s="451">
        <v>0</v>
      </c>
      <c r="R57" s="451">
        <v>0</v>
      </c>
      <c r="S57" s="451">
        <v>0</v>
      </c>
      <c r="T57" s="451">
        <v>1149742.400086764</v>
      </c>
      <c r="U57" s="451">
        <v>0</v>
      </c>
      <c r="V57" s="451">
        <v>1374889.3300867639</v>
      </c>
      <c r="W57" s="451">
        <v>1101463.1000000001</v>
      </c>
      <c r="X57" s="451">
        <v>0</v>
      </c>
      <c r="Y57" s="451"/>
      <c r="Z57" s="451"/>
      <c r="AA57" s="456"/>
      <c r="AB57" s="451">
        <v>1101463.1000000001</v>
      </c>
      <c r="AC57" s="451">
        <v>273426.23008676386</v>
      </c>
      <c r="AD57" s="451">
        <v>0</v>
      </c>
      <c r="AE57" s="457">
        <v>273426.23008676386</v>
      </c>
      <c r="AF57" s="451">
        <v>48279.300086763862</v>
      </c>
      <c r="AG57" s="451">
        <v>225146.93</v>
      </c>
      <c r="AH57" s="451">
        <v>0</v>
      </c>
      <c r="AI57" s="451">
        <v>0</v>
      </c>
      <c r="AJ57" s="451">
        <v>0</v>
      </c>
      <c r="AK57" s="462"/>
      <c r="AL57" s="453" t="s">
        <v>108</v>
      </c>
      <c r="AM57" s="451">
        <v>273426.23008676386</v>
      </c>
      <c r="AN57" s="453" t="s">
        <v>108</v>
      </c>
      <c r="AO57" s="453">
        <v>68</v>
      </c>
      <c r="AP57" s="453">
        <v>19</v>
      </c>
      <c r="AQ57" s="458">
        <v>0.23781520979493323</v>
      </c>
      <c r="AS57" s="459" t="s">
        <v>104</v>
      </c>
      <c r="AT57" s="453" t="s">
        <v>109</v>
      </c>
      <c r="AU57" s="464" t="s">
        <v>199</v>
      </c>
      <c r="AV57" s="460" t="s">
        <v>36</v>
      </c>
      <c r="AW57" s="453" t="s">
        <v>1431</v>
      </c>
      <c r="BA57" s="464" t="str">
        <f>_xlfn.XLOOKUP(B57,'School List from APT'!A:A,'School List from APT'!C:C,"",FALSE)</f>
        <v>Broadmeadow Infant School</v>
      </c>
    </row>
    <row r="58" spans="1:53" x14ac:dyDescent="0.25">
      <c r="A58" s="453" t="s">
        <v>201</v>
      </c>
      <c r="B58" s="453">
        <v>2236</v>
      </c>
      <c r="C58" s="453">
        <v>2236</v>
      </c>
      <c r="D58" s="453" t="s">
        <v>202</v>
      </c>
      <c r="F58" s="454" t="s">
        <v>162</v>
      </c>
      <c r="G58" s="454" t="s">
        <v>107</v>
      </c>
      <c r="H58" s="451">
        <v>327722.81300279638</v>
      </c>
      <c r="I58" s="451">
        <v>-3.002796380314976E-3</v>
      </c>
      <c r="J58" s="455">
        <v>327722.81</v>
      </c>
      <c r="K58" s="451">
        <v>1167619.421322579</v>
      </c>
      <c r="L58" s="451">
        <v>223239.375</v>
      </c>
      <c r="M58" s="451">
        <v>0</v>
      </c>
      <c r="N58" s="451">
        <v>1390858.796322579</v>
      </c>
      <c r="O58" s="451">
        <v>0</v>
      </c>
      <c r="P58" s="451">
        <v>0</v>
      </c>
      <c r="Q58" s="451">
        <v>0</v>
      </c>
      <c r="R58" s="451">
        <v>0</v>
      </c>
      <c r="S58" s="451">
        <v>0</v>
      </c>
      <c r="T58" s="451">
        <v>1390858.796322579</v>
      </c>
      <c r="U58" s="451">
        <v>0</v>
      </c>
      <c r="V58" s="451">
        <v>1718581.6063225791</v>
      </c>
      <c r="W58" s="451">
        <v>1426877.4</v>
      </c>
      <c r="X58" s="451">
        <v>0</v>
      </c>
      <c r="Y58" s="451"/>
      <c r="Z58" s="451"/>
      <c r="AA58" s="456"/>
      <c r="AB58" s="451">
        <v>1426877.4</v>
      </c>
      <c r="AC58" s="451">
        <v>291704.20632257918</v>
      </c>
      <c r="AD58" s="451">
        <v>0</v>
      </c>
      <c r="AE58" s="457">
        <v>291704.20632257918</v>
      </c>
      <c r="AF58" s="451">
        <v>-36018.603677420819</v>
      </c>
      <c r="AG58" s="451">
        <v>327722.81</v>
      </c>
      <c r="AH58" s="451">
        <v>0</v>
      </c>
      <c r="AI58" s="451">
        <v>0</v>
      </c>
      <c r="AJ58" s="451">
        <v>0</v>
      </c>
      <c r="AK58" s="462"/>
      <c r="AL58" s="453" t="s">
        <v>108</v>
      </c>
      <c r="AM58" s="451">
        <v>291704.20632257918</v>
      </c>
      <c r="AN58" s="453" t="s">
        <v>108</v>
      </c>
      <c r="AO58" s="453">
        <v>62</v>
      </c>
      <c r="AP58" s="453">
        <v>34</v>
      </c>
      <c r="AQ58" s="458">
        <v>0.2097295621193489</v>
      </c>
      <c r="AS58" s="459" t="s">
        <v>104</v>
      </c>
      <c r="AT58" s="453" t="s">
        <v>109</v>
      </c>
      <c r="AU58" s="464" t="s">
        <v>201</v>
      </c>
      <c r="AV58" s="460" t="s">
        <v>36</v>
      </c>
      <c r="AW58" s="453" t="s">
        <v>1431</v>
      </c>
      <c r="BA58" s="464" t="str">
        <f>_xlfn.XLOOKUP(B58,'School List from APT'!A:A,'School List from APT'!C:C,"",FALSE)</f>
        <v>Broadmeadow Junior School</v>
      </c>
    </row>
    <row r="59" spans="1:53" x14ac:dyDescent="0.25">
      <c r="A59" s="453" t="s">
        <v>203</v>
      </c>
      <c r="B59" s="453">
        <v>2465</v>
      </c>
      <c r="C59" s="453">
        <v>2465</v>
      </c>
      <c r="D59" s="453" t="s">
        <v>204</v>
      </c>
      <c r="E59" s="453" t="s">
        <v>83</v>
      </c>
      <c r="F59" s="454" t="s">
        <v>162</v>
      </c>
      <c r="G59" s="454" t="s">
        <v>36</v>
      </c>
      <c r="H59" s="451">
        <v>132335.77132560749</v>
      </c>
      <c r="I59" s="451">
        <v>0</v>
      </c>
      <c r="J59" s="455">
        <v>132335.77132560749</v>
      </c>
      <c r="K59" s="451">
        <v>2213574.9299999997</v>
      </c>
      <c r="L59" s="451">
        <v>225823.25</v>
      </c>
      <c r="M59" s="451">
        <v>-15988.949999999997</v>
      </c>
      <c r="N59" s="451">
        <v>2423409.2299999995</v>
      </c>
      <c r="O59" s="451">
        <v>5656.2525000000005</v>
      </c>
      <c r="P59" s="451">
        <v>0</v>
      </c>
      <c r="Q59" s="451">
        <v>0</v>
      </c>
      <c r="R59" s="451">
        <v>0</v>
      </c>
      <c r="S59" s="451">
        <v>5656.2525000000005</v>
      </c>
      <c r="T59" s="451">
        <v>2429065.4824999995</v>
      </c>
      <c r="U59" s="451">
        <v>0</v>
      </c>
      <c r="V59" s="451">
        <v>2561401.2538256068</v>
      </c>
      <c r="W59" s="451">
        <v>2512052.4</v>
      </c>
      <c r="X59" s="451">
        <v>1076.6099999999999</v>
      </c>
      <c r="Y59" s="451"/>
      <c r="Z59" s="451"/>
      <c r="AA59" s="456"/>
      <c r="AB59" s="451">
        <v>2513129.0099999998</v>
      </c>
      <c r="AC59" s="451">
        <v>48272.243825607002</v>
      </c>
      <c r="AD59" s="451">
        <v>67.581141355849809</v>
      </c>
      <c r="AE59" s="457">
        <v>48339.824966962849</v>
      </c>
      <c r="AF59" s="451">
        <v>-83995.946358644636</v>
      </c>
      <c r="AG59" s="451">
        <v>132335.77132560749</v>
      </c>
      <c r="AH59" s="451">
        <v>48272.243825607002</v>
      </c>
      <c r="AI59" s="451">
        <v>121170.46149999998</v>
      </c>
      <c r="AJ59" s="451">
        <v>67.581141355849809</v>
      </c>
      <c r="AK59" s="462"/>
      <c r="AL59" s="453" t="s">
        <v>108</v>
      </c>
      <c r="AM59" s="451">
        <v>48339.824966962849</v>
      </c>
      <c r="AN59" s="453" t="s">
        <v>108</v>
      </c>
      <c r="AO59" s="453">
        <v>138</v>
      </c>
      <c r="AP59" s="453">
        <v>142</v>
      </c>
      <c r="AQ59" s="458">
        <v>1.9900585354830122E-2</v>
      </c>
      <c r="AS59" s="459" t="s">
        <v>104</v>
      </c>
      <c r="AT59" s="453" t="s">
        <v>104</v>
      </c>
      <c r="AU59" s="464" t="s">
        <v>203</v>
      </c>
      <c r="AV59" s="460" t="s">
        <v>36</v>
      </c>
      <c r="AW59" s="453" t="s">
        <v>1430</v>
      </c>
      <c r="BA59" s="464" t="str">
        <f>_xlfn.XLOOKUP(B59,'School List from APT'!A:A,'School List from APT'!C:C,"",FALSE)</f>
        <v>Calshot Primary School</v>
      </c>
    </row>
    <row r="60" spans="1:53" x14ac:dyDescent="0.25">
      <c r="A60" s="453" t="s">
        <v>205</v>
      </c>
      <c r="B60" s="453">
        <v>2312</v>
      </c>
      <c r="C60" s="453">
        <v>2312</v>
      </c>
      <c r="D60" s="453" t="s">
        <v>206</v>
      </c>
      <c r="F60" s="454" t="s">
        <v>162</v>
      </c>
      <c r="G60" s="454" t="s">
        <v>36</v>
      </c>
      <c r="H60" s="451">
        <v>157306.43080557286</v>
      </c>
      <c r="I60" s="451">
        <v>0</v>
      </c>
      <c r="J60" s="455">
        <v>157306.43080557286</v>
      </c>
      <c r="K60" s="451">
        <v>1852917.9802189975</v>
      </c>
      <c r="L60" s="451">
        <v>187766.75</v>
      </c>
      <c r="M60" s="451">
        <v>0</v>
      </c>
      <c r="N60" s="451">
        <v>2040684.7302189975</v>
      </c>
      <c r="O60" s="451">
        <v>175851.62091666664</v>
      </c>
      <c r="P60" s="451">
        <v>0</v>
      </c>
      <c r="Q60" s="451">
        <v>0</v>
      </c>
      <c r="R60" s="451">
        <v>0</v>
      </c>
      <c r="S60" s="451">
        <v>175851.62091666664</v>
      </c>
      <c r="T60" s="451">
        <v>2216536.3511356642</v>
      </c>
      <c r="U60" s="451">
        <v>0</v>
      </c>
      <c r="V60" s="451">
        <v>2373842.7819412369</v>
      </c>
      <c r="W60" s="451">
        <v>2315383.0099999998</v>
      </c>
      <c r="X60" s="451">
        <v>-10560</v>
      </c>
      <c r="Y60" s="451"/>
      <c r="Z60" s="451"/>
      <c r="AA60" s="456"/>
      <c r="AB60" s="451">
        <v>2304823.0099999998</v>
      </c>
      <c r="AC60" s="451">
        <v>69019.771941237152</v>
      </c>
      <c r="AD60" s="451">
        <v>996.99894631475706</v>
      </c>
      <c r="AE60" s="457">
        <v>70016.770887551902</v>
      </c>
      <c r="AF60" s="451">
        <v>-87289.65991802096</v>
      </c>
      <c r="AG60" s="451">
        <v>157306.43080557286</v>
      </c>
      <c r="AH60" s="451">
        <v>69019.771941237152</v>
      </c>
      <c r="AI60" s="451">
        <v>102034.23651094988</v>
      </c>
      <c r="AJ60" s="451">
        <v>96.627680717732005</v>
      </c>
      <c r="AK60" s="462"/>
      <c r="AL60" s="453" t="s">
        <v>108</v>
      </c>
      <c r="AM60" s="451">
        <v>70016.770887551902</v>
      </c>
      <c r="AN60" s="453" t="s">
        <v>108</v>
      </c>
      <c r="AO60" s="453">
        <v>135</v>
      </c>
      <c r="AP60" s="453">
        <v>139</v>
      </c>
      <c r="AQ60" s="458">
        <v>3.1588370229830937E-2</v>
      </c>
      <c r="AS60" s="459" t="s">
        <v>104</v>
      </c>
      <c r="AT60" s="453" t="s">
        <v>104</v>
      </c>
      <c r="AU60" s="464" t="s">
        <v>205</v>
      </c>
      <c r="AV60" s="460" t="s">
        <v>36</v>
      </c>
      <c r="AW60" s="453" t="s">
        <v>1430</v>
      </c>
      <c r="BA60" s="464" t="str">
        <f>_xlfn.XLOOKUP(B60,'School List from APT'!A:A,'School List from APT'!C:C,"",FALSE)</f>
        <v>Chad Vale Primary School</v>
      </c>
    </row>
    <row r="61" spans="1:53" x14ac:dyDescent="0.25">
      <c r="A61" s="453" t="s">
        <v>207</v>
      </c>
      <c r="B61" s="453">
        <v>2040</v>
      </c>
      <c r="C61" s="453">
        <v>2040</v>
      </c>
      <c r="D61" s="453" t="s">
        <v>208</v>
      </c>
      <c r="E61" s="453" t="s">
        <v>83</v>
      </c>
      <c r="F61" s="454" t="s">
        <v>162</v>
      </c>
      <c r="G61" s="454" t="s">
        <v>36</v>
      </c>
      <c r="H61" s="451">
        <v>350980.26780286722</v>
      </c>
      <c r="I61" s="451">
        <v>0</v>
      </c>
      <c r="J61" s="455">
        <v>350980.26780286722</v>
      </c>
      <c r="K61" s="451">
        <v>2112291.5081801317</v>
      </c>
      <c r="L61" s="451">
        <v>228155.625</v>
      </c>
      <c r="M61" s="451">
        <v>-37160.599999999977</v>
      </c>
      <c r="N61" s="451">
        <v>2303286.5331801316</v>
      </c>
      <c r="O61" s="451">
        <v>229633.46187623663</v>
      </c>
      <c r="P61" s="451">
        <v>0</v>
      </c>
      <c r="Q61" s="451">
        <v>0</v>
      </c>
      <c r="R61" s="451">
        <v>0</v>
      </c>
      <c r="S61" s="451">
        <v>229633.46187623663</v>
      </c>
      <c r="T61" s="451">
        <v>2532919.9950563684</v>
      </c>
      <c r="U61" s="451">
        <v>0</v>
      </c>
      <c r="V61" s="451">
        <v>2883900.2628592355</v>
      </c>
      <c r="W61" s="451">
        <v>2853600.72</v>
      </c>
      <c r="X61" s="451">
        <v>-44637</v>
      </c>
      <c r="Y61" s="451"/>
      <c r="Z61" s="451"/>
      <c r="AA61" s="456"/>
      <c r="AB61" s="451">
        <v>2808963.72</v>
      </c>
      <c r="AC61" s="451">
        <v>74936.542859235313</v>
      </c>
      <c r="AD61" s="451">
        <v>104.91116000292944</v>
      </c>
      <c r="AE61" s="457">
        <v>75041.454019238241</v>
      </c>
      <c r="AF61" s="451">
        <v>-275938.81378362898</v>
      </c>
      <c r="AG61" s="451">
        <v>350980.26780286722</v>
      </c>
      <c r="AH61" s="451">
        <v>74936.542859235313</v>
      </c>
      <c r="AI61" s="451">
        <v>115164.32665900659</v>
      </c>
      <c r="AJ61" s="451">
        <v>104.91116000292944</v>
      </c>
      <c r="AK61" s="462"/>
      <c r="AL61" s="453" t="s">
        <v>108</v>
      </c>
      <c r="AM61" s="451">
        <v>75041.454019238241</v>
      </c>
      <c r="AN61" s="453" t="s">
        <v>108</v>
      </c>
      <c r="AO61" s="453">
        <v>134</v>
      </c>
      <c r="AP61" s="453">
        <v>140</v>
      </c>
      <c r="AQ61" s="458">
        <v>2.9626460435268603E-2</v>
      </c>
      <c r="AS61" s="459" t="s">
        <v>104</v>
      </c>
      <c r="AT61" s="453" t="s">
        <v>104</v>
      </c>
      <c r="AU61" s="464" t="s">
        <v>207</v>
      </c>
      <c r="AV61" s="460" t="s">
        <v>36</v>
      </c>
      <c r="AW61" s="453" t="s">
        <v>1430</v>
      </c>
      <c r="BA61" s="464" t="str">
        <f>_xlfn.XLOOKUP(B61,'School List from APT'!A:A,'School List from APT'!C:C,"",FALSE)</f>
        <v>Cherry Orchard Primary School</v>
      </c>
    </row>
    <row r="62" spans="1:53" x14ac:dyDescent="0.25">
      <c r="A62" s="453" t="s">
        <v>209</v>
      </c>
      <c r="B62" s="453">
        <v>2251</v>
      </c>
      <c r="C62" s="453">
        <v>2251</v>
      </c>
      <c r="D62" s="453" t="s">
        <v>210</v>
      </c>
      <c r="E62" s="453" t="s">
        <v>83</v>
      </c>
      <c r="F62" s="454" t="s">
        <v>162</v>
      </c>
      <c r="G62" s="454" t="s">
        <v>107</v>
      </c>
      <c r="H62" s="451">
        <v>466259.02556236344</v>
      </c>
      <c r="I62" s="451">
        <v>-3132.4555623634369</v>
      </c>
      <c r="J62" s="455">
        <v>463126.57</v>
      </c>
      <c r="K62" s="451">
        <v>1883228.22</v>
      </c>
      <c r="L62" s="451">
        <v>232405.875</v>
      </c>
      <c r="M62" s="451">
        <v>-16632.60000000002</v>
      </c>
      <c r="N62" s="451">
        <v>2099001.4949999996</v>
      </c>
      <c r="O62" s="451">
        <v>41797.174833333338</v>
      </c>
      <c r="P62" s="451">
        <v>0</v>
      </c>
      <c r="Q62" s="451">
        <v>0</v>
      </c>
      <c r="R62" s="451">
        <v>0</v>
      </c>
      <c r="S62" s="451">
        <v>41797.174833333338</v>
      </c>
      <c r="T62" s="451">
        <v>2140798.6698333328</v>
      </c>
      <c r="U62" s="451">
        <v>0</v>
      </c>
      <c r="V62" s="451">
        <v>2603925.2398333326</v>
      </c>
      <c r="W62" s="451">
        <v>2274954.65</v>
      </c>
      <c r="X62" s="451">
        <v>0</v>
      </c>
      <c r="Y62" s="451"/>
      <c r="Z62" s="451"/>
      <c r="AA62" s="456"/>
      <c r="AB62" s="451">
        <v>2274954.65</v>
      </c>
      <c r="AC62" s="451">
        <v>328970.58983333269</v>
      </c>
      <c r="AD62" s="451">
        <v>0</v>
      </c>
      <c r="AE62" s="457">
        <v>328970.58983333269</v>
      </c>
      <c r="AF62" s="451">
        <v>-134155.98016666732</v>
      </c>
      <c r="AG62" s="451">
        <v>463126.57</v>
      </c>
      <c r="AH62" s="451">
        <v>0</v>
      </c>
      <c r="AI62" s="451">
        <v>0</v>
      </c>
      <c r="AJ62" s="451">
        <v>0</v>
      </c>
      <c r="AK62" s="462"/>
      <c r="AL62" s="453" t="s">
        <v>108</v>
      </c>
      <c r="AM62" s="451">
        <v>328970.58983333269</v>
      </c>
      <c r="AN62" s="453" t="s">
        <v>108</v>
      </c>
      <c r="AO62" s="453">
        <v>53</v>
      </c>
      <c r="AP62" s="453">
        <v>59</v>
      </c>
      <c r="AQ62" s="458">
        <v>0.15366722451249654</v>
      </c>
      <c r="AS62" s="459" t="s">
        <v>104</v>
      </c>
      <c r="AT62" s="453" t="s">
        <v>109</v>
      </c>
      <c r="AU62" s="464" t="s">
        <v>209</v>
      </c>
      <c r="AV62" s="460" t="s">
        <v>36</v>
      </c>
      <c r="AW62" s="453" t="s">
        <v>1431</v>
      </c>
      <c r="BA62" s="464" t="str">
        <f>_xlfn.XLOOKUP(B62,'School List from APT'!A:A,'School List from APT'!C:C,"",FALSE)</f>
        <v>Chilcote Primary School</v>
      </c>
    </row>
    <row r="63" spans="1:53" x14ac:dyDescent="0.25">
      <c r="A63" s="453" t="s">
        <v>211</v>
      </c>
      <c r="B63" s="453">
        <v>3319</v>
      </c>
      <c r="C63" s="453">
        <v>3319</v>
      </c>
      <c r="D63" s="453" t="s">
        <v>212</v>
      </c>
      <c r="E63" s="453" t="s">
        <v>83</v>
      </c>
      <c r="F63" s="454" t="s">
        <v>162</v>
      </c>
      <c r="G63" s="454" t="s">
        <v>107</v>
      </c>
      <c r="H63" s="451">
        <v>142281.17654368654</v>
      </c>
      <c r="I63" s="451">
        <v>6789.7234563134552</v>
      </c>
      <c r="J63" s="455">
        <v>149070.9</v>
      </c>
      <c r="K63" s="451">
        <v>1933700.6813291337</v>
      </c>
      <c r="L63" s="451">
        <v>314588.4375</v>
      </c>
      <c r="M63" s="451">
        <v>-15740.739999999991</v>
      </c>
      <c r="N63" s="451">
        <v>2232548.3788291337</v>
      </c>
      <c r="O63" s="451">
        <v>34835.708389352862</v>
      </c>
      <c r="P63" s="451">
        <v>0</v>
      </c>
      <c r="Q63" s="451">
        <v>0</v>
      </c>
      <c r="R63" s="451">
        <v>0</v>
      </c>
      <c r="S63" s="451">
        <v>34835.708389352862</v>
      </c>
      <c r="T63" s="451">
        <v>2267384.0872184867</v>
      </c>
      <c r="U63" s="451">
        <v>0</v>
      </c>
      <c r="V63" s="451">
        <v>2416454.9872184866</v>
      </c>
      <c r="W63" s="451">
        <v>2294602.71</v>
      </c>
      <c r="X63" s="451">
        <v>0</v>
      </c>
      <c r="Y63" s="451"/>
      <c r="Z63" s="451"/>
      <c r="AA63" s="456"/>
      <c r="AB63" s="451">
        <v>2294602.71</v>
      </c>
      <c r="AC63" s="451">
        <v>121852.27721848665</v>
      </c>
      <c r="AD63" s="451">
        <v>0</v>
      </c>
      <c r="AE63" s="457">
        <v>121852.27721848665</v>
      </c>
      <c r="AF63" s="451">
        <v>-27218.622781513346</v>
      </c>
      <c r="AG63" s="451">
        <v>149070.9</v>
      </c>
      <c r="AH63" s="451">
        <v>0</v>
      </c>
      <c r="AI63" s="451">
        <v>0</v>
      </c>
      <c r="AJ63" s="451">
        <v>0</v>
      </c>
      <c r="AK63" s="462"/>
      <c r="AL63" s="453" t="s">
        <v>108</v>
      </c>
      <c r="AM63" s="451">
        <v>121852.27721848665</v>
      </c>
      <c r="AN63" s="453" t="s">
        <v>108</v>
      </c>
      <c r="AO63" s="453">
        <v>114</v>
      </c>
      <c r="AP63" s="453">
        <v>130</v>
      </c>
      <c r="AQ63" s="458">
        <v>5.3741347972486177E-2</v>
      </c>
      <c r="AS63" s="459" t="s">
        <v>104</v>
      </c>
      <c r="AT63" s="453" t="s">
        <v>109</v>
      </c>
      <c r="AU63" s="464" t="s">
        <v>211</v>
      </c>
      <c r="AV63" s="460" t="s">
        <v>36</v>
      </c>
      <c r="AW63" s="453" t="s">
        <v>1431</v>
      </c>
      <c r="BA63" s="464" t="str">
        <f>_xlfn.XLOOKUP(B63,'School List from APT'!A:A,'School List from APT'!C:C,"",FALSE)</f>
        <v>Christ The King Catholic Primary School</v>
      </c>
    </row>
    <row r="64" spans="1:53" x14ac:dyDescent="0.25">
      <c r="A64" s="453" t="s">
        <v>213</v>
      </c>
      <c r="B64" s="453">
        <v>3002</v>
      </c>
      <c r="C64" s="453">
        <v>3002</v>
      </c>
      <c r="D64" s="453" t="s">
        <v>214</v>
      </c>
      <c r="E64" s="453" t="s">
        <v>83</v>
      </c>
      <c r="F64" s="454" t="s">
        <v>162</v>
      </c>
      <c r="G64" s="454" t="s">
        <v>107</v>
      </c>
      <c r="H64" s="451">
        <v>545809.99397081812</v>
      </c>
      <c r="I64" s="451">
        <v>-3.9708181284368038E-3</v>
      </c>
      <c r="J64" s="455">
        <v>545809.99</v>
      </c>
      <c r="K64" s="451">
        <v>1233983.8234011242</v>
      </c>
      <c r="L64" s="451">
        <v>186685.25</v>
      </c>
      <c r="M64" s="451">
        <v>-14026.396153846137</v>
      </c>
      <c r="N64" s="451">
        <v>1406642.6772472782</v>
      </c>
      <c r="O64" s="451">
        <v>28956.822583333334</v>
      </c>
      <c r="P64" s="451">
        <v>0</v>
      </c>
      <c r="Q64" s="451">
        <v>0</v>
      </c>
      <c r="R64" s="451">
        <v>0</v>
      </c>
      <c r="S64" s="451">
        <v>28956.822583333334</v>
      </c>
      <c r="T64" s="451">
        <v>1435599.4998306115</v>
      </c>
      <c r="U64" s="451">
        <v>0</v>
      </c>
      <c r="V64" s="451">
        <v>1981409.4898306115</v>
      </c>
      <c r="W64" s="451">
        <v>1520774.68</v>
      </c>
      <c r="X64" s="451">
        <v>0</v>
      </c>
      <c r="Y64" s="451"/>
      <c r="Z64" s="451"/>
      <c r="AA64" s="456"/>
      <c r="AB64" s="451">
        <v>1520774.68</v>
      </c>
      <c r="AC64" s="451">
        <v>460634.80983061157</v>
      </c>
      <c r="AD64" s="451">
        <v>0</v>
      </c>
      <c r="AE64" s="457">
        <v>460634.80983061157</v>
      </c>
      <c r="AF64" s="451">
        <v>-85175.180169388419</v>
      </c>
      <c r="AG64" s="451">
        <v>545809.99</v>
      </c>
      <c r="AH64" s="451">
        <v>0</v>
      </c>
      <c r="AI64" s="451">
        <v>0</v>
      </c>
      <c r="AJ64" s="451">
        <v>0</v>
      </c>
      <c r="AK64" s="462"/>
      <c r="AL64" s="453" t="s">
        <v>108</v>
      </c>
      <c r="AM64" s="451">
        <v>460634.80983061157</v>
      </c>
      <c r="AN64" s="453" t="s">
        <v>108</v>
      </c>
      <c r="AO64" s="453">
        <v>31</v>
      </c>
      <c r="AP64" s="453">
        <v>10</v>
      </c>
      <c r="AQ64" s="458">
        <v>0.32086581939110631</v>
      </c>
      <c r="AS64" s="459" t="s">
        <v>104</v>
      </c>
      <c r="AT64" s="453" t="s">
        <v>109</v>
      </c>
      <c r="AU64" s="464" t="s">
        <v>213</v>
      </c>
      <c r="AV64" s="460" t="s">
        <v>36</v>
      </c>
      <c r="AW64" s="453" t="s">
        <v>1431</v>
      </c>
      <c r="BA64" s="464" t="str">
        <f>_xlfn.XLOOKUP(B64,'School List from APT'!A:A,'School List from APT'!C:C,"",FALSE)</f>
        <v>Christ Church CofE Controlled Primary School and Nursery</v>
      </c>
    </row>
    <row r="65" spans="1:53" x14ac:dyDescent="0.25">
      <c r="A65" s="453" t="s">
        <v>215</v>
      </c>
      <c r="B65" s="453">
        <v>3432</v>
      </c>
      <c r="C65" s="453">
        <v>3432</v>
      </c>
      <c r="D65" s="453" t="s">
        <v>216</v>
      </c>
      <c r="E65" s="453" t="s">
        <v>83</v>
      </c>
      <c r="F65" s="454" t="s">
        <v>162</v>
      </c>
      <c r="G65" s="454" t="s">
        <v>36</v>
      </c>
      <c r="H65" s="451">
        <v>824181.79472919251</v>
      </c>
      <c r="I65" s="451">
        <v>0</v>
      </c>
      <c r="J65" s="455">
        <v>824181.79472919251</v>
      </c>
      <c r="K65" s="451">
        <v>4482864.2500628233</v>
      </c>
      <c r="L65" s="451">
        <v>695553.875</v>
      </c>
      <c r="M65" s="451">
        <v>-13619.170945945953</v>
      </c>
      <c r="N65" s="451">
        <v>5164798.9541168772</v>
      </c>
      <c r="O65" s="451">
        <v>140655.74199999997</v>
      </c>
      <c r="P65" s="451">
        <v>0</v>
      </c>
      <c r="Q65" s="451">
        <v>0</v>
      </c>
      <c r="R65" s="451">
        <v>0</v>
      </c>
      <c r="S65" s="451">
        <v>140655.74199999997</v>
      </c>
      <c r="T65" s="451">
        <v>5305454.6961168768</v>
      </c>
      <c r="U65" s="451">
        <v>0</v>
      </c>
      <c r="V65" s="451">
        <v>6129636.4908460695</v>
      </c>
      <c r="W65" s="451">
        <v>5522658.9299999997</v>
      </c>
      <c r="X65" s="451">
        <v>-32517.84</v>
      </c>
      <c r="Y65" s="451"/>
      <c r="Z65" s="451"/>
      <c r="AA65" s="456"/>
      <c r="AB65" s="451">
        <v>5490141.0899999999</v>
      </c>
      <c r="AC65" s="451">
        <v>639495.40084606968</v>
      </c>
      <c r="AD65" s="451">
        <v>895.29356118449755</v>
      </c>
      <c r="AE65" s="457">
        <v>640390.69440725422</v>
      </c>
      <c r="AF65" s="451">
        <v>-183791.10032193828</v>
      </c>
      <c r="AG65" s="451">
        <v>824181.79472919251</v>
      </c>
      <c r="AH65" s="451">
        <v>639495.40084606968</v>
      </c>
      <c r="AI65" s="451">
        <v>258239.94770584386</v>
      </c>
      <c r="AJ65" s="451">
        <v>895.29356118449755</v>
      </c>
      <c r="AK65" s="462"/>
      <c r="AL65" s="453" t="s">
        <v>108</v>
      </c>
      <c r="AM65" s="451">
        <v>640390.69440725422</v>
      </c>
      <c r="AN65" s="453" t="s">
        <v>108</v>
      </c>
      <c r="AO65" s="453">
        <v>13</v>
      </c>
      <c r="AP65" s="453">
        <v>87</v>
      </c>
      <c r="AQ65" s="458">
        <v>0.12070420559353066</v>
      </c>
      <c r="AS65" s="459" t="s">
        <v>104</v>
      </c>
      <c r="AT65" s="453" t="s">
        <v>104</v>
      </c>
      <c r="AU65" s="464" t="s">
        <v>215</v>
      </c>
      <c r="AV65" s="460" t="s">
        <v>36</v>
      </c>
      <c r="AW65" s="453" t="s">
        <v>1430</v>
      </c>
      <c r="BA65" s="464" t="str">
        <f>_xlfn.XLOOKUP(B65,'School List from APT'!A:A,'School List from APT'!C:C,"",FALSE)</f>
        <v>Clifton Primary School</v>
      </c>
    </row>
    <row r="66" spans="1:53" x14ac:dyDescent="0.25">
      <c r="A66" s="453" t="s">
        <v>217</v>
      </c>
      <c r="B66" s="453">
        <v>2289</v>
      </c>
      <c r="C66" s="453">
        <v>2289</v>
      </c>
      <c r="D66" s="453" t="s">
        <v>218</v>
      </c>
      <c r="F66" s="454" t="s">
        <v>162</v>
      </c>
      <c r="G66" s="454" t="s">
        <v>36</v>
      </c>
      <c r="H66" s="451">
        <v>-278485.75914131897</v>
      </c>
      <c r="I66" s="451">
        <v>0</v>
      </c>
      <c r="J66" s="455">
        <v>-278485.75914131897</v>
      </c>
      <c r="K66" s="451">
        <v>1733605.6991712656</v>
      </c>
      <c r="L66" s="451">
        <v>225222.125</v>
      </c>
      <c r="M66" s="451">
        <v>0</v>
      </c>
      <c r="N66" s="451">
        <v>1958827.8241712656</v>
      </c>
      <c r="O66" s="451">
        <v>66509.650250000006</v>
      </c>
      <c r="P66" s="451">
        <v>40162.5</v>
      </c>
      <c r="Q66" s="451">
        <v>0</v>
      </c>
      <c r="R66" s="451">
        <v>0</v>
      </c>
      <c r="S66" s="451">
        <v>106672.15025000001</v>
      </c>
      <c r="T66" s="451">
        <v>2065499.9744212655</v>
      </c>
      <c r="U66" s="451">
        <v>0</v>
      </c>
      <c r="V66" s="451">
        <v>1787014.2152799466</v>
      </c>
      <c r="W66" s="451">
        <v>1911983.65</v>
      </c>
      <c r="X66" s="451">
        <v>0</v>
      </c>
      <c r="Y66" s="451"/>
      <c r="Z66" s="451"/>
      <c r="AA66" s="456"/>
      <c r="AB66" s="451">
        <v>1911983.65</v>
      </c>
      <c r="AC66" s="451">
        <v>-124969.43472005334</v>
      </c>
      <c r="AD66" s="451">
        <v>0</v>
      </c>
      <c r="AE66" s="457">
        <v>-124969.43472005334</v>
      </c>
      <c r="AF66" s="451">
        <v>153516.32442126563</v>
      </c>
      <c r="AG66" s="451">
        <v>-278485.75914131897</v>
      </c>
      <c r="AH66" s="451">
        <v>0</v>
      </c>
      <c r="AI66" s="451">
        <v>0</v>
      </c>
      <c r="AJ66" s="451">
        <v>0</v>
      </c>
      <c r="AK66" s="462"/>
      <c r="AL66" s="453" t="s">
        <v>103</v>
      </c>
      <c r="AM66" s="451">
        <v>-124969.43472005334</v>
      </c>
      <c r="AN66" s="453" t="s">
        <v>103</v>
      </c>
      <c r="AO66" s="453">
        <v>162</v>
      </c>
      <c r="AP66" s="453">
        <v>159</v>
      </c>
      <c r="AQ66" s="458">
        <v>-6.0503237118203622E-2</v>
      </c>
      <c r="AS66" s="459" t="s">
        <v>104</v>
      </c>
      <c r="AT66" s="453" t="s">
        <v>104</v>
      </c>
      <c r="AU66" s="464" t="s">
        <v>217</v>
      </c>
      <c r="AV66" s="460" t="s">
        <v>36</v>
      </c>
      <c r="AW66" s="453" t="s">
        <v>1430</v>
      </c>
      <c r="BA66" s="464" t="str">
        <f>_xlfn.XLOOKUP(B66,'School List from APT'!A:A,'School List from APT'!C:C,"",FALSE)</f>
        <v>Cofton Primary School</v>
      </c>
    </row>
    <row r="67" spans="1:53" x14ac:dyDescent="0.25">
      <c r="A67" s="453" t="s">
        <v>219</v>
      </c>
      <c r="B67" s="453">
        <v>2185</v>
      </c>
      <c r="C67" s="453">
        <v>2185</v>
      </c>
      <c r="D67" s="453" t="s">
        <v>220</v>
      </c>
      <c r="F67" s="454" t="s">
        <v>162</v>
      </c>
      <c r="G67" s="454" t="s">
        <v>36</v>
      </c>
      <c r="H67" s="451">
        <v>253646.97564002563</v>
      </c>
      <c r="I67" s="451">
        <v>0</v>
      </c>
      <c r="J67" s="455">
        <v>253646.97564002563</v>
      </c>
      <c r="K67" s="451">
        <v>2039516.979600447</v>
      </c>
      <c r="L67" s="451">
        <v>257970.625</v>
      </c>
      <c r="M67" s="451">
        <v>-6433.4304878048861</v>
      </c>
      <c r="N67" s="451">
        <v>2291054.1741126422</v>
      </c>
      <c r="O67" s="451">
        <v>30231.702333333335</v>
      </c>
      <c r="P67" s="451">
        <v>0</v>
      </c>
      <c r="Q67" s="451">
        <v>0</v>
      </c>
      <c r="R67" s="451">
        <v>0</v>
      </c>
      <c r="S67" s="451">
        <v>30231.702333333335</v>
      </c>
      <c r="T67" s="451">
        <v>2321285.8764459756</v>
      </c>
      <c r="U67" s="451">
        <v>0</v>
      </c>
      <c r="V67" s="451">
        <v>2574932.8520860011</v>
      </c>
      <c r="W67" s="451">
        <v>2347771.06</v>
      </c>
      <c r="X67" s="451">
        <v>0</v>
      </c>
      <c r="Y67" s="451"/>
      <c r="Z67" s="451"/>
      <c r="AA67" s="456"/>
      <c r="AB67" s="451">
        <v>2347771.06</v>
      </c>
      <c r="AC67" s="451">
        <v>227161.79208600102</v>
      </c>
      <c r="AD67" s="451">
        <v>318.0265089204014</v>
      </c>
      <c r="AE67" s="457">
        <v>227479.81859492141</v>
      </c>
      <c r="AF67" s="451">
        <v>-26167.157045104221</v>
      </c>
      <c r="AG67" s="451">
        <v>253646.97564002563</v>
      </c>
      <c r="AH67" s="451">
        <v>227161.79208600102</v>
      </c>
      <c r="AI67" s="451">
        <v>114552.70870563212</v>
      </c>
      <c r="AJ67" s="451">
        <v>318.0265089204014</v>
      </c>
      <c r="AK67" s="462"/>
      <c r="AL67" s="453" t="s">
        <v>108</v>
      </c>
      <c r="AM67" s="451">
        <v>227479.81859492141</v>
      </c>
      <c r="AN67" s="453" t="s">
        <v>108</v>
      </c>
      <c r="AO67" s="453">
        <v>87</v>
      </c>
      <c r="AP67" s="453">
        <v>102</v>
      </c>
      <c r="AQ67" s="458">
        <v>9.7997330231124447E-2</v>
      </c>
      <c r="AS67" s="459" t="s">
        <v>104</v>
      </c>
      <c r="AT67" s="453" t="s">
        <v>104</v>
      </c>
      <c r="AU67" s="464" t="s">
        <v>219</v>
      </c>
      <c r="AV67" s="460" t="s">
        <v>36</v>
      </c>
      <c r="AW67" s="453" t="s">
        <v>1430</v>
      </c>
      <c r="BA67" s="464" t="str">
        <f>_xlfn.XLOOKUP(B67,'School List from APT'!A:A,'School List from APT'!C:C,"",FALSE)</f>
        <v>Colebourne Primary School</v>
      </c>
    </row>
    <row r="68" spans="1:53" x14ac:dyDescent="0.25">
      <c r="A68" s="453" t="s">
        <v>221</v>
      </c>
      <c r="B68" s="453">
        <v>2054</v>
      </c>
      <c r="C68" s="453">
        <v>2054</v>
      </c>
      <c r="D68" s="453" t="s">
        <v>222</v>
      </c>
      <c r="E68" s="453" t="s">
        <v>83</v>
      </c>
      <c r="F68" s="454" t="s">
        <v>162</v>
      </c>
      <c r="G68" s="454" t="s">
        <v>107</v>
      </c>
      <c r="H68" s="451">
        <v>145505.88092578948</v>
      </c>
      <c r="I68" s="451">
        <v>-522.9309257894638</v>
      </c>
      <c r="J68" s="455">
        <v>144982.95000000001</v>
      </c>
      <c r="K68" s="451">
        <v>1699177.16925907</v>
      </c>
      <c r="L68" s="451">
        <v>281776.875</v>
      </c>
      <c r="M68" s="451">
        <v>-2885.0117647059087</v>
      </c>
      <c r="N68" s="451">
        <v>1978069.0324943641</v>
      </c>
      <c r="O68" s="451">
        <v>68040.188080364183</v>
      </c>
      <c r="P68" s="451">
        <v>0</v>
      </c>
      <c r="Q68" s="451">
        <v>0</v>
      </c>
      <c r="R68" s="451">
        <v>0</v>
      </c>
      <c r="S68" s="451">
        <v>68040.188080364183</v>
      </c>
      <c r="T68" s="451">
        <v>2046109.2205747282</v>
      </c>
      <c r="U68" s="451">
        <v>0</v>
      </c>
      <c r="V68" s="451">
        <v>2191092.1705747284</v>
      </c>
      <c r="W68" s="451">
        <v>2111476.0699999998</v>
      </c>
      <c r="X68" s="451">
        <v>0</v>
      </c>
      <c r="Y68" s="451"/>
      <c r="Z68" s="451"/>
      <c r="AA68" s="456"/>
      <c r="AB68" s="451">
        <v>2111476.0699999998</v>
      </c>
      <c r="AC68" s="451">
        <v>79616.100574728567</v>
      </c>
      <c r="AD68" s="451">
        <v>0</v>
      </c>
      <c r="AE68" s="457">
        <v>79616.100574728567</v>
      </c>
      <c r="AF68" s="451">
        <v>-65366.849425271444</v>
      </c>
      <c r="AG68" s="451">
        <v>144982.95000000001</v>
      </c>
      <c r="AH68" s="451">
        <v>0</v>
      </c>
      <c r="AI68" s="451">
        <v>0</v>
      </c>
      <c r="AJ68" s="451">
        <v>0</v>
      </c>
      <c r="AK68" s="462"/>
      <c r="AL68" s="453" t="s">
        <v>108</v>
      </c>
      <c r="AM68" s="451">
        <v>79616.100574728567</v>
      </c>
      <c r="AN68" s="453" t="s">
        <v>108</v>
      </c>
      <c r="AO68" s="453">
        <v>132</v>
      </c>
      <c r="AP68" s="453">
        <v>137</v>
      </c>
      <c r="AQ68" s="458">
        <v>3.8910972969646913E-2</v>
      </c>
      <c r="AS68" s="459" t="s">
        <v>104</v>
      </c>
      <c r="AT68" s="453" t="s">
        <v>109</v>
      </c>
      <c r="AU68" s="464" t="s">
        <v>221</v>
      </c>
      <c r="AV68" s="460" t="s">
        <v>36</v>
      </c>
      <c r="AW68" s="453" t="s">
        <v>1431</v>
      </c>
      <c r="BA68" s="464" t="str">
        <f>_xlfn.XLOOKUP(B68,'School List from APT'!A:A,'School List from APT'!C:C,"",FALSE)</f>
        <v>Colmore Infant and Nursery School</v>
      </c>
    </row>
    <row r="69" spans="1:53" x14ac:dyDescent="0.25">
      <c r="A69" s="453" t="s">
        <v>223</v>
      </c>
      <c r="B69" s="453">
        <v>2053</v>
      </c>
      <c r="C69" s="453">
        <v>2053</v>
      </c>
      <c r="D69" s="453" t="s">
        <v>224</v>
      </c>
      <c r="F69" s="454" t="s">
        <v>162</v>
      </c>
      <c r="G69" s="454" t="s">
        <v>107</v>
      </c>
      <c r="H69" s="451">
        <v>265320.89172259718</v>
      </c>
      <c r="I69" s="451">
        <v>-1.722597167827189E-3</v>
      </c>
      <c r="J69" s="455">
        <v>265320.89</v>
      </c>
      <c r="K69" s="451">
        <v>2015153.97</v>
      </c>
      <c r="L69" s="451">
        <v>212209</v>
      </c>
      <c r="M69" s="451">
        <v>0</v>
      </c>
      <c r="N69" s="451">
        <v>2227362.9699999997</v>
      </c>
      <c r="O69" s="451">
        <v>57580.004833333332</v>
      </c>
      <c r="P69" s="451">
        <v>0</v>
      </c>
      <c r="Q69" s="451">
        <v>0</v>
      </c>
      <c r="R69" s="451">
        <v>0</v>
      </c>
      <c r="S69" s="451">
        <v>57580.004833333332</v>
      </c>
      <c r="T69" s="451">
        <v>2284942.9748333329</v>
      </c>
      <c r="U69" s="451">
        <v>0</v>
      </c>
      <c r="V69" s="451">
        <v>2550263.8648333331</v>
      </c>
      <c r="W69" s="451">
        <v>2308581.77</v>
      </c>
      <c r="X69" s="451">
        <v>0</v>
      </c>
      <c r="Y69" s="451"/>
      <c r="Z69" s="451"/>
      <c r="AA69" s="456"/>
      <c r="AB69" s="451">
        <v>2308581.77</v>
      </c>
      <c r="AC69" s="451">
        <v>241682.09483333305</v>
      </c>
      <c r="AD69" s="451">
        <v>0</v>
      </c>
      <c r="AE69" s="457">
        <v>241682.09483333305</v>
      </c>
      <c r="AF69" s="451">
        <v>-23638.795166666969</v>
      </c>
      <c r="AG69" s="451">
        <v>265320.89</v>
      </c>
      <c r="AH69" s="451">
        <v>0</v>
      </c>
      <c r="AI69" s="451">
        <v>0</v>
      </c>
      <c r="AJ69" s="451">
        <v>0</v>
      </c>
      <c r="AK69" s="462"/>
      <c r="AL69" s="453" t="s">
        <v>108</v>
      </c>
      <c r="AM69" s="451">
        <v>241682.09483333305</v>
      </c>
      <c r="AN69" s="453" t="s">
        <v>108</v>
      </c>
      <c r="AO69" s="453">
        <v>81</v>
      </c>
      <c r="AP69" s="453">
        <v>95</v>
      </c>
      <c r="AQ69" s="458">
        <v>0.10577160896147166</v>
      </c>
      <c r="AS69" s="459" t="s">
        <v>104</v>
      </c>
      <c r="AT69" s="453" t="s">
        <v>109</v>
      </c>
      <c r="AU69" s="464" t="s">
        <v>223</v>
      </c>
      <c r="AV69" s="460" t="s">
        <v>36</v>
      </c>
      <c r="AW69" s="453" t="s">
        <v>1431</v>
      </c>
      <c r="BA69" s="464" t="str">
        <f>_xlfn.XLOOKUP(B69,'School List from APT'!A:A,'School List from APT'!C:C,"",FALSE)</f>
        <v>Colmore Junior School</v>
      </c>
    </row>
    <row r="70" spans="1:53" x14ac:dyDescent="0.25">
      <c r="A70" s="453" t="s">
        <v>225</v>
      </c>
      <c r="B70" s="453">
        <v>2464</v>
      </c>
      <c r="C70" s="453">
        <v>2464</v>
      </c>
      <c r="D70" s="453" t="s">
        <v>226</v>
      </c>
      <c r="F70" s="454" t="s">
        <v>162</v>
      </c>
      <c r="G70" s="454" t="s">
        <v>36</v>
      </c>
      <c r="H70" s="451">
        <v>41250.082299328205</v>
      </c>
      <c r="I70" s="451">
        <v>0</v>
      </c>
      <c r="J70" s="455">
        <v>41250.082299328205</v>
      </c>
      <c r="K70" s="451">
        <v>1778075.8299999998</v>
      </c>
      <c r="L70" s="451">
        <v>136861.75</v>
      </c>
      <c r="M70" s="451">
        <v>0</v>
      </c>
      <c r="N70" s="451">
        <v>1914937.5799999998</v>
      </c>
      <c r="O70" s="451">
        <v>1485.4166666666665</v>
      </c>
      <c r="P70" s="451">
        <v>0</v>
      </c>
      <c r="Q70" s="451">
        <v>0</v>
      </c>
      <c r="R70" s="451">
        <v>0</v>
      </c>
      <c r="S70" s="451">
        <v>1485.4166666666665</v>
      </c>
      <c r="T70" s="451">
        <v>1916422.9966666666</v>
      </c>
      <c r="U70" s="451">
        <v>0</v>
      </c>
      <c r="V70" s="451">
        <v>1957673.0789659948</v>
      </c>
      <c r="W70" s="451">
        <v>1881097.13</v>
      </c>
      <c r="X70" s="451">
        <v>-14426.64</v>
      </c>
      <c r="Y70" s="451"/>
      <c r="Z70" s="451"/>
      <c r="AA70" s="456"/>
      <c r="AB70" s="451">
        <v>1866670.49</v>
      </c>
      <c r="AC70" s="451">
        <v>91002.588965994772</v>
      </c>
      <c r="AD70" s="451">
        <v>415.68532099181823</v>
      </c>
      <c r="AE70" s="457">
        <v>91418.274286986591</v>
      </c>
      <c r="AF70" s="451">
        <v>50168.191987658385</v>
      </c>
      <c r="AG70" s="451">
        <v>41250.082299328205</v>
      </c>
      <c r="AH70" s="451">
        <v>41250.082299328205</v>
      </c>
      <c r="AI70" s="451">
        <v>95746.879000000001</v>
      </c>
      <c r="AJ70" s="451">
        <v>57.750115219059488</v>
      </c>
      <c r="AK70" s="462"/>
      <c r="AL70" s="453" t="s">
        <v>108</v>
      </c>
      <c r="AM70" s="451">
        <v>91418.274286986591</v>
      </c>
      <c r="AN70" s="453" t="s">
        <v>108</v>
      </c>
      <c r="AO70" s="453">
        <v>126</v>
      </c>
      <c r="AP70" s="453">
        <v>132</v>
      </c>
      <c r="AQ70" s="458">
        <v>4.7702555461917914E-2</v>
      </c>
      <c r="AS70" s="459" t="s">
        <v>104</v>
      </c>
      <c r="AT70" s="453" t="s">
        <v>104</v>
      </c>
      <c r="AU70" s="464" t="s">
        <v>225</v>
      </c>
      <c r="AV70" s="460" t="s">
        <v>36</v>
      </c>
      <c r="AW70" s="453" t="s">
        <v>1430</v>
      </c>
      <c r="BA70" s="464" t="str">
        <f>_xlfn.XLOOKUP(B70,'School List from APT'!A:A,'School List from APT'!C:C,"",FALSE)</f>
        <v>Coppice Primary School</v>
      </c>
    </row>
    <row r="71" spans="1:53" x14ac:dyDescent="0.25">
      <c r="A71" s="453" t="s">
        <v>227</v>
      </c>
      <c r="B71" s="453">
        <v>3320</v>
      </c>
      <c r="C71" s="453">
        <v>3320</v>
      </c>
      <c r="D71" s="453" t="s">
        <v>228</v>
      </c>
      <c r="F71" s="454" t="s">
        <v>162</v>
      </c>
      <c r="G71" s="454" t="s">
        <v>36</v>
      </c>
      <c r="H71" s="451">
        <v>491284.03253127931</v>
      </c>
      <c r="I71" s="451">
        <v>0</v>
      </c>
      <c r="J71" s="455">
        <v>491284.03253127931</v>
      </c>
      <c r="K71" s="451">
        <v>1942215.3073701637</v>
      </c>
      <c r="L71" s="451">
        <v>362023.625</v>
      </c>
      <c r="M71" s="451">
        <v>0</v>
      </c>
      <c r="N71" s="451">
        <v>2304238.9323701635</v>
      </c>
      <c r="O71" s="451">
        <v>17303.75</v>
      </c>
      <c r="P71" s="451">
        <v>0</v>
      </c>
      <c r="Q71" s="451">
        <v>0</v>
      </c>
      <c r="R71" s="451">
        <v>0</v>
      </c>
      <c r="S71" s="451">
        <v>17303.75</v>
      </c>
      <c r="T71" s="451">
        <v>2321542.6823701635</v>
      </c>
      <c r="U71" s="451">
        <v>0</v>
      </c>
      <c r="V71" s="451">
        <v>2812826.7149014426</v>
      </c>
      <c r="W71" s="451">
        <v>2302116.69</v>
      </c>
      <c r="X71" s="451">
        <v>0</v>
      </c>
      <c r="Y71" s="493"/>
      <c r="Z71" s="494"/>
      <c r="AA71" s="456"/>
      <c r="AB71" s="451">
        <v>2302116.69</v>
      </c>
      <c r="AC71" s="451">
        <v>510710.0249014427</v>
      </c>
      <c r="AD71" s="451">
        <v>687.79764554379108</v>
      </c>
      <c r="AE71" s="457">
        <v>511397.82254698651</v>
      </c>
      <c r="AF71" s="451">
        <v>20113.7900157072</v>
      </c>
      <c r="AG71" s="451">
        <v>491284.03253127931</v>
      </c>
      <c r="AH71" s="451">
        <v>491284.03253127931</v>
      </c>
      <c r="AI71" s="451">
        <v>115211.94661850818</v>
      </c>
      <c r="AJ71" s="451">
        <v>687.79764554379108</v>
      </c>
      <c r="AK71" s="462"/>
      <c r="AL71" s="453" t="s">
        <v>108</v>
      </c>
      <c r="AM71" s="451">
        <v>511397.82254698651</v>
      </c>
      <c r="AN71" s="453" t="s">
        <v>108</v>
      </c>
      <c r="AO71" s="453">
        <v>21</v>
      </c>
      <c r="AP71" s="453">
        <v>25</v>
      </c>
      <c r="AQ71" s="458">
        <v>0.2202836184880643</v>
      </c>
      <c r="AS71" s="459" t="s">
        <v>104</v>
      </c>
      <c r="AT71" s="453" t="s">
        <v>104</v>
      </c>
      <c r="AU71" s="464" t="s">
        <v>227</v>
      </c>
      <c r="AV71" s="460" t="s">
        <v>36</v>
      </c>
      <c r="AW71" s="453" t="s">
        <v>1430</v>
      </c>
      <c r="BA71" s="464" t="str">
        <f>_xlfn.XLOOKUP(B71,'School List from APT'!A:A,'School List from APT'!C:C,"",FALSE)</f>
        <v>Corpus Christi Catholic Primary School</v>
      </c>
    </row>
    <row r="72" spans="1:53" x14ac:dyDescent="0.25">
      <c r="A72" s="453" t="s">
        <v>229</v>
      </c>
      <c r="B72" s="453">
        <v>2055</v>
      </c>
      <c r="C72" s="453">
        <v>2055</v>
      </c>
      <c r="D72" s="453" t="s">
        <v>230</v>
      </c>
      <c r="E72" s="453" t="s">
        <v>83</v>
      </c>
      <c r="F72" s="454" t="s">
        <v>162</v>
      </c>
      <c r="G72" s="454" t="s">
        <v>36</v>
      </c>
      <c r="H72" s="451">
        <v>440462.24978937436</v>
      </c>
      <c r="I72" s="451">
        <v>0</v>
      </c>
      <c r="J72" s="455">
        <v>440462.24978937436</v>
      </c>
      <c r="K72" s="451">
        <v>1911274.4302751804</v>
      </c>
      <c r="L72" s="451">
        <v>294889</v>
      </c>
      <c r="M72" s="451">
        <v>54818.249999999993</v>
      </c>
      <c r="N72" s="451">
        <v>2260981.6802751804</v>
      </c>
      <c r="O72" s="451">
        <v>28168.159333333333</v>
      </c>
      <c r="P72" s="451">
        <v>0</v>
      </c>
      <c r="Q72" s="451">
        <v>0</v>
      </c>
      <c r="R72" s="451">
        <v>0</v>
      </c>
      <c r="S72" s="451">
        <v>28168.159333333333</v>
      </c>
      <c r="T72" s="451">
        <v>2289149.8396085138</v>
      </c>
      <c r="U72" s="451">
        <v>0</v>
      </c>
      <c r="V72" s="451">
        <v>2729612.0893978882</v>
      </c>
      <c r="W72" s="451">
        <v>2258733.4700000002</v>
      </c>
      <c r="X72" s="451">
        <v>0</v>
      </c>
      <c r="Y72" s="451"/>
      <c r="Z72" s="451"/>
      <c r="AA72" s="456"/>
      <c r="AB72" s="451">
        <v>2258733.4700000002</v>
      </c>
      <c r="AC72" s="451">
        <v>470878.61939788796</v>
      </c>
      <c r="AD72" s="451">
        <v>616.64714970512409</v>
      </c>
      <c r="AE72" s="457">
        <v>471495.26654759306</v>
      </c>
      <c r="AF72" s="451">
        <v>31033.016758218699</v>
      </c>
      <c r="AG72" s="451">
        <v>440462.24978937436</v>
      </c>
      <c r="AH72" s="451">
        <v>440462.24978937436</v>
      </c>
      <c r="AI72" s="451">
        <v>113049.08401375903</v>
      </c>
      <c r="AJ72" s="451">
        <v>616.64714970512409</v>
      </c>
      <c r="AK72" s="462"/>
      <c r="AL72" s="453" t="s">
        <v>108</v>
      </c>
      <c r="AM72" s="451">
        <v>471495.26654759306</v>
      </c>
      <c r="AN72" s="453" t="s">
        <v>108</v>
      </c>
      <c r="AO72" s="453">
        <v>29</v>
      </c>
      <c r="AP72" s="453">
        <v>35</v>
      </c>
      <c r="AQ72" s="458">
        <v>0.20596959551945596</v>
      </c>
      <c r="AS72" s="459" t="s">
        <v>104</v>
      </c>
      <c r="AT72" s="453" t="s">
        <v>104</v>
      </c>
      <c r="AU72" s="464" t="s">
        <v>229</v>
      </c>
      <c r="AV72" s="460" t="s">
        <v>36</v>
      </c>
      <c r="AW72" s="453" t="s">
        <v>1430</v>
      </c>
      <c r="BA72" s="464" t="str">
        <f>_xlfn.XLOOKUP(B72,'School List from APT'!A:A,'School List from APT'!C:C,"",FALSE)</f>
        <v>Cotteridge Primary School</v>
      </c>
    </row>
    <row r="73" spans="1:53" x14ac:dyDescent="0.25">
      <c r="A73" s="453" t="s">
        <v>231</v>
      </c>
      <c r="B73" s="453">
        <v>2191</v>
      </c>
      <c r="C73" s="453">
        <v>2191</v>
      </c>
      <c r="D73" s="453" t="s">
        <v>232</v>
      </c>
      <c r="F73" s="454" t="s">
        <v>162</v>
      </c>
      <c r="G73" s="454" t="s">
        <v>36</v>
      </c>
      <c r="H73" s="451">
        <v>228400.57913632778</v>
      </c>
      <c r="I73" s="451">
        <v>0</v>
      </c>
      <c r="J73" s="455">
        <v>228400.57913632778</v>
      </c>
      <c r="K73" s="451">
        <v>1501912.5948857984</v>
      </c>
      <c r="L73" s="451">
        <v>238214.875</v>
      </c>
      <c r="M73" s="451">
        <v>-17734.320000000007</v>
      </c>
      <c r="N73" s="451">
        <v>1722393.1498857983</v>
      </c>
      <c r="O73" s="451">
        <v>5800</v>
      </c>
      <c r="P73" s="451">
        <v>0</v>
      </c>
      <c r="Q73" s="451">
        <v>0</v>
      </c>
      <c r="R73" s="451">
        <v>0</v>
      </c>
      <c r="S73" s="451">
        <v>5800</v>
      </c>
      <c r="T73" s="451">
        <v>1728193.1498857983</v>
      </c>
      <c r="U73" s="451">
        <v>0</v>
      </c>
      <c r="V73" s="451">
        <v>1956593.7290221262</v>
      </c>
      <c r="W73" s="451">
        <v>1789722.03</v>
      </c>
      <c r="X73" s="451">
        <v>0</v>
      </c>
      <c r="Y73" s="451"/>
      <c r="Z73" s="451"/>
      <c r="AA73" s="456"/>
      <c r="AB73" s="451">
        <v>1789722.03</v>
      </c>
      <c r="AC73" s="451">
        <v>166871.69902212615</v>
      </c>
      <c r="AD73" s="451">
        <v>233.6203786309766</v>
      </c>
      <c r="AE73" s="457">
        <v>167105.31940075711</v>
      </c>
      <c r="AF73" s="451">
        <v>-61295.259735570668</v>
      </c>
      <c r="AG73" s="451">
        <v>228400.57913632778</v>
      </c>
      <c r="AH73" s="451">
        <v>166871.69902212615</v>
      </c>
      <c r="AI73" s="451">
        <v>86119.657494289917</v>
      </c>
      <c r="AJ73" s="451">
        <v>233.6203786309766</v>
      </c>
      <c r="AK73" s="462"/>
      <c r="AL73" s="453" t="s">
        <v>108</v>
      </c>
      <c r="AM73" s="451">
        <v>167105.31940075711</v>
      </c>
      <c r="AN73" s="453" t="s">
        <v>108</v>
      </c>
      <c r="AO73" s="453">
        <v>99</v>
      </c>
      <c r="AP73" s="453">
        <v>103</v>
      </c>
      <c r="AQ73" s="458">
        <v>9.6693659161766546E-2</v>
      </c>
      <c r="AS73" s="459" t="s">
        <v>104</v>
      </c>
      <c r="AT73" s="453" t="s">
        <v>104</v>
      </c>
      <c r="AU73" s="464" t="s">
        <v>231</v>
      </c>
      <c r="AV73" s="460" t="s">
        <v>36</v>
      </c>
      <c r="AW73" s="453" t="s">
        <v>1430</v>
      </c>
      <c r="BA73" s="464" t="str">
        <f>_xlfn.XLOOKUP(B73,'School List from APT'!A:A,'School List from APT'!C:C,"",FALSE)</f>
        <v>Court Farm Primary School</v>
      </c>
    </row>
    <row r="74" spans="1:53" x14ac:dyDescent="0.25">
      <c r="A74" s="453" t="s">
        <v>233</v>
      </c>
      <c r="B74" s="453">
        <v>2284</v>
      </c>
      <c r="C74" s="453">
        <v>2284</v>
      </c>
      <c r="D74" s="453" t="s">
        <v>234</v>
      </c>
      <c r="F74" s="454" t="s">
        <v>162</v>
      </c>
      <c r="G74" s="454" t="s">
        <v>36</v>
      </c>
      <c r="H74" s="451">
        <v>97190.339696223862</v>
      </c>
      <c r="I74" s="451">
        <v>0</v>
      </c>
      <c r="J74" s="455">
        <v>97190.339696223862</v>
      </c>
      <c r="K74" s="451">
        <v>1088535.1652106156</v>
      </c>
      <c r="L74" s="451">
        <v>168828.5</v>
      </c>
      <c r="M74" s="451">
        <v>0</v>
      </c>
      <c r="N74" s="451">
        <v>1257363.6652106156</v>
      </c>
      <c r="O74" s="451">
        <v>14623.333333333334</v>
      </c>
      <c r="P74" s="451">
        <v>0</v>
      </c>
      <c r="Q74" s="451">
        <v>0</v>
      </c>
      <c r="R74" s="451">
        <v>0</v>
      </c>
      <c r="S74" s="451">
        <v>14623.333333333334</v>
      </c>
      <c r="T74" s="451">
        <v>1271986.9985439489</v>
      </c>
      <c r="U74" s="451">
        <v>0</v>
      </c>
      <c r="V74" s="451">
        <v>1369177.3382401727</v>
      </c>
      <c r="W74" s="451">
        <v>1293499.68</v>
      </c>
      <c r="X74" s="451">
        <v>-6359.8</v>
      </c>
      <c r="Y74" s="451"/>
      <c r="Z74" s="451"/>
      <c r="AA74" s="456"/>
      <c r="AB74" s="451">
        <v>1287139.8799999999</v>
      </c>
      <c r="AC74" s="451">
        <v>82037.458240172826</v>
      </c>
      <c r="AD74" s="451">
        <v>114.85244153624195</v>
      </c>
      <c r="AE74" s="457">
        <v>82152.310681709074</v>
      </c>
      <c r="AF74" s="451">
        <v>-15038.029014514788</v>
      </c>
      <c r="AG74" s="451">
        <v>97190.339696223862</v>
      </c>
      <c r="AH74" s="451">
        <v>82037.458240172826</v>
      </c>
      <c r="AI74" s="451">
        <v>62868.183260530786</v>
      </c>
      <c r="AJ74" s="451">
        <v>114.85244153624195</v>
      </c>
      <c r="AK74" s="462"/>
      <c r="AL74" s="453" t="s">
        <v>108</v>
      </c>
      <c r="AM74" s="451">
        <v>82152.310681709074</v>
      </c>
      <c r="AN74" s="453" t="s">
        <v>108</v>
      </c>
      <c r="AO74" s="453">
        <v>131</v>
      </c>
      <c r="AP74" s="453">
        <v>124</v>
      </c>
      <c r="AQ74" s="458">
        <v>6.4585810056037765E-2</v>
      </c>
      <c r="AS74" s="459" t="s">
        <v>104</v>
      </c>
      <c r="AT74" s="453" t="s">
        <v>104</v>
      </c>
      <c r="AU74" s="464" t="s">
        <v>233</v>
      </c>
      <c r="AV74" s="460" t="s">
        <v>36</v>
      </c>
      <c r="AW74" s="453" t="s">
        <v>1430</v>
      </c>
      <c r="BA74" s="464" t="str">
        <f>_xlfn.XLOOKUP(B74,'School List from APT'!A:A,'School List from APT'!C:C,"",FALSE)</f>
        <v>Deykin Avenue Junior and Infant School</v>
      </c>
    </row>
    <row r="75" spans="1:53" x14ac:dyDescent="0.25">
      <c r="A75" s="453" t="s">
        <v>235</v>
      </c>
      <c r="B75" s="453">
        <v>2454</v>
      </c>
      <c r="C75" s="453">
        <v>2454</v>
      </c>
      <c r="D75" s="453" t="s">
        <v>236</v>
      </c>
      <c r="E75" s="453" t="s">
        <v>83</v>
      </c>
      <c r="F75" s="454" t="s">
        <v>162</v>
      </c>
      <c r="G75" s="454" t="s">
        <v>36</v>
      </c>
      <c r="H75" s="451">
        <v>216745.12033937321</v>
      </c>
      <c r="I75" s="451">
        <v>0</v>
      </c>
      <c r="J75" s="455">
        <v>216745.12033937321</v>
      </c>
      <c r="K75" s="451">
        <v>1844867.6764202854</v>
      </c>
      <c r="L75" s="451">
        <v>359990.75</v>
      </c>
      <c r="M75" s="451">
        <v>35235.149999999994</v>
      </c>
      <c r="N75" s="451">
        <v>2240093.5764202853</v>
      </c>
      <c r="O75" s="451">
        <v>17403.166666666668</v>
      </c>
      <c r="P75" s="451">
        <v>0</v>
      </c>
      <c r="Q75" s="451">
        <v>0</v>
      </c>
      <c r="R75" s="451">
        <v>0</v>
      </c>
      <c r="S75" s="451">
        <v>17403.166666666668</v>
      </c>
      <c r="T75" s="451">
        <v>2257496.7430869518</v>
      </c>
      <c r="U75" s="451">
        <v>0</v>
      </c>
      <c r="V75" s="451">
        <v>2474241.8634263249</v>
      </c>
      <c r="W75" s="451">
        <v>2087782.37</v>
      </c>
      <c r="X75" s="451">
        <v>-4690.6000000000004</v>
      </c>
      <c r="Y75" s="451"/>
      <c r="Z75" s="451"/>
      <c r="AA75" s="456"/>
      <c r="AB75" s="451">
        <v>2083091.77</v>
      </c>
      <c r="AC75" s="451">
        <v>391150.09342632489</v>
      </c>
      <c r="AD75" s="451">
        <v>303.44316847512249</v>
      </c>
      <c r="AE75" s="457">
        <v>391453.53659480001</v>
      </c>
      <c r="AF75" s="451">
        <v>174708.4162554268</v>
      </c>
      <c r="AG75" s="451">
        <v>216745.12033937321</v>
      </c>
      <c r="AH75" s="451">
        <v>216745.12033937321</v>
      </c>
      <c r="AI75" s="451">
        <v>112004.67882101427</v>
      </c>
      <c r="AJ75" s="451">
        <v>303.44316847512249</v>
      </c>
      <c r="AK75" s="462"/>
      <c r="AL75" s="453" t="s">
        <v>108</v>
      </c>
      <c r="AM75" s="451">
        <v>391453.53659480001</v>
      </c>
      <c r="AN75" s="453" t="s">
        <v>108</v>
      </c>
      <c r="AO75" s="453">
        <v>37</v>
      </c>
      <c r="AP75" s="453">
        <v>49</v>
      </c>
      <c r="AQ75" s="458">
        <v>0.17340159528182425</v>
      </c>
      <c r="AS75" s="459" t="s">
        <v>104</v>
      </c>
      <c r="AT75" s="453" t="s">
        <v>104</v>
      </c>
      <c r="AU75" s="464" t="s">
        <v>235</v>
      </c>
      <c r="AV75" s="460" t="s">
        <v>36</v>
      </c>
      <c r="AW75" s="453" t="s">
        <v>1430</v>
      </c>
      <c r="BA75" s="464" t="str">
        <f>_xlfn.XLOOKUP(B75,'School List from APT'!A:A,'School List from APT'!C:C,"",FALSE)</f>
        <v>Elms Farm Community Primary School</v>
      </c>
    </row>
    <row r="76" spans="1:53" x14ac:dyDescent="0.25">
      <c r="A76" s="453" t="s">
        <v>237</v>
      </c>
      <c r="B76" s="453">
        <v>3321</v>
      </c>
      <c r="C76" s="453">
        <v>3321</v>
      </c>
      <c r="D76" s="453" t="s">
        <v>238</v>
      </c>
      <c r="F76" s="454" t="s">
        <v>162</v>
      </c>
      <c r="G76" s="454" t="s">
        <v>36</v>
      </c>
      <c r="H76" s="451">
        <v>387345.32221468934</v>
      </c>
      <c r="I76" s="451">
        <v>0</v>
      </c>
      <c r="J76" s="455">
        <v>387345.32221468934</v>
      </c>
      <c r="K76" s="451">
        <v>1837837.3914419836</v>
      </c>
      <c r="L76" s="451">
        <v>250739.5</v>
      </c>
      <c r="M76" s="451">
        <v>0</v>
      </c>
      <c r="N76" s="451">
        <v>2088576.8914419836</v>
      </c>
      <c r="O76" s="451">
        <v>26314.164666666664</v>
      </c>
      <c r="P76" s="451">
        <v>0</v>
      </c>
      <c r="Q76" s="451">
        <v>0</v>
      </c>
      <c r="R76" s="451">
        <v>0</v>
      </c>
      <c r="S76" s="451">
        <v>26314.164666666664</v>
      </c>
      <c r="T76" s="451">
        <v>2114891.0561086503</v>
      </c>
      <c r="U76" s="451">
        <v>0</v>
      </c>
      <c r="V76" s="451">
        <v>2502236.3783233399</v>
      </c>
      <c r="W76" s="451">
        <v>2158649.77</v>
      </c>
      <c r="X76" s="451">
        <v>0</v>
      </c>
      <c r="Y76" s="451"/>
      <c r="Z76" s="451"/>
      <c r="AA76" s="456"/>
      <c r="AB76" s="451">
        <v>2158649.77</v>
      </c>
      <c r="AC76" s="451">
        <v>343586.60832333984</v>
      </c>
      <c r="AD76" s="451">
        <v>481.02125165267574</v>
      </c>
      <c r="AE76" s="457">
        <v>344067.62957499252</v>
      </c>
      <c r="AF76" s="451">
        <v>-43277.692639696819</v>
      </c>
      <c r="AG76" s="451">
        <v>387345.32221468934</v>
      </c>
      <c r="AH76" s="451">
        <v>343586.60832333984</v>
      </c>
      <c r="AI76" s="451">
        <v>104428.84457209919</v>
      </c>
      <c r="AJ76" s="451">
        <v>481.02125165267574</v>
      </c>
      <c r="AK76" s="462"/>
      <c r="AL76" s="453" t="s">
        <v>108</v>
      </c>
      <c r="AM76" s="451">
        <v>344067.62957499252</v>
      </c>
      <c r="AN76" s="453" t="s">
        <v>108</v>
      </c>
      <c r="AO76" s="453">
        <v>48</v>
      </c>
      <c r="AP76" s="453">
        <v>53</v>
      </c>
      <c r="AQ76" s="458">
        <v>0.16268811037863518</v>
      </c>
      <c r="AS76" s="459" t="s">
        <v>104</v>
      </c>
      <c r="AT76" s="453" t="s">
        <v>104</v>
      </c>
      <c r="AU76" s="464" t="s">
        <v>237</v>
      </c>
      <c r="AV76" s="460" t="s">
        <v>36</v>
      </c>
      <c r="AW76" s="453" t="s">
        <v>1430</v>
      </c>
      <c r="BA76" s="464" t="str">
        <f>_xlfn.XLOOKUP(B76,'School List from APT'!A:A,'School List from APT'!C:C,"",FALSE)</f>
        <v>English Martyrs' Catholic Primary School</v>
      </c>
    </row>
    <row r="77" spans="1:53" x14ac:dyDescent="0.25">
      <c r="A77" s="453" t="s">
        <v>239</v>
      </c>
      <c r="B77" s="453">
        <v>2294</v>
      </c>
      <c r="C77" s="453">
        <v>2294</v>
      </c>
      <c r="D77" s="453" t="s">
        <v>240</v>
      </c>
      <c r="F77" s="454" t="s">
        <v>162</v>
      </c>
      <c r="G77" s="454" t="s">
        <v>36</v>
      </c>
      <c r="H77" s="451">
        <v>1007881.3155132064</v>
      </c>
      <c r="I77" s="451">
        <v>0</v>
      </c>
      <c r="J77" s="455">
        <v>1007881.3155132064</v>
      </c>
      <c r="K77" s="451">
        <v>1924995.1036937605</v>
      </c>
      <c r="L77" s="451">
        <v>321767.125</v>
      </c>
      <c r="M77" s="451">
        <v>0</v>
      </c>
      <c r="N77" s="451">
        <v>2246762.2286937605</v>
      </c>
      <c r="O77" s="451">
        <v>33844.850913393937</v>
      </c>
      <c r="P77" s="451">
        <v>0</v>
      </c>
      <c r="Q77" s="451">
        <v>0</v>
      </c>
      <c r="R77" s="451">
        <v>0</v>
      </c>
      <c r="S77" s="451">
        <v>33844.850913393937</v>
      </c>
      <c r="T77" s="451">
        <v>2280607.0796071542</v>
      </c>
      <c r="U77" s="451">
        <v>0</v>
      </c>
      <c r="V77" s="451">
        <v>3288488.3951203609</v>
      </c>
      <c r="W77" s="451">
        <v>2204115.6</v>
      </c>
      <c r="X77" s="451">
        <v>-4328.05</v>
      </c>
      <c r="Y77" s="451"/>
      <c r="Z77" s="451"/>
      <c r="AA77" s="456"/>
      <c r="AB77" s="451">
        <v>2199787.5500000003</v>
      </c>
      <c r="AC77" s="451">
        <v>1088700.8451203606</v>
      </c>
      <c r="AD77" s="451">
        <v>1411.0338417184889</v>
      </c>
      <c r="AE77" s="457">
        <v>1090111.8789620791</v>
      </c>
      <c r="AF77" s="451">
        <v>82230.56344887265</v>
      </c>
      <c r="AG77" s="451">
        <v>1007881.3155132064</v>
      </c>
      <c r="AH77" s="451">
        <v>1007881.3155132064</v>
      </c>
      <c r="AI77" s="451">
        <v>112338.11143468803</v>
      </c>
      <c r="AJ77" s="451">
        <v>1411.0338417184889</v>
      </c>
      <c r="AK77" s="462"/>
      <c r="AL77" s="453" t="s">
        <v>108</v>
      </c>
      <c r="AM77" s="451">
        <v>1090111.8789620791</v>
      </c>
      <c r="AN77" s="453" t="s">
        <v>108</v>
      </c>
      <c r="AO77" s="453">
        <v>3</v>
      </c>
      <c r="AP77" s="453">
        <v>4</v>
      </c>
      <c r="AQ77" s="458">
        <v>0.47799197358882889</v>
      </c>
      <c r="AS77" s="459" t="s">
        <v>104</v>
      </c>
      <c r="AT77" s="453" t="s">
        <v>104</v>
      </c>
      <c r="AU77" s="464" t="s">
        <v>239</v>
      </c>
      <c r="AV77" s="460" t="s">
        <v>36</v>
      </c>
      <c r="AW77" s="453" t="s">
        <v>1430</v>
      </c>
      <c r="BA77" s="464" t="str">
        <f>_xlfn.XLOOKUP(B77,'School List from APT'!A:A,'School List from APT'!C:C,"",FALSE)</f>
        <v>Featherstone Primary School</v>
      </c>
    </row>
    <row r="78" spans="1:53" x14ac:dyDescent="0.25">
      <c r="A78" s="453" t="s">
        <v>241</v>
      </c>
      <c r="B78" s="453">
        <v>3435</v>
      </c>
      <c r="C78" s="453">
        <v>3435</v>
      </c>
      <c r="D78" s="453" t="s">
        <v>242</v>
      </c>
      <c r="F78" s="454" t="s">
        <v>162</v>
      </c>
      <c r="G78" s="454" t="s">
        <v>36</v>
      </c>
      <c r="H78" s="451">
        <v>216652.9684435862</v>
      </c>
      <c r="I78" s="451">
        <v>0</v>
      </c>
      <c r="J78" s="455">
        <v>216652.9684435862</v>
      </c>
      <c r="K78" s="451">
        <v>1781405.17</v>
      </c>
      <c r="L78" s="451">
        <v>154259.875</v>
      </c>
      <c r="M78" s="451">
        <v>0</v>
      </c>
      <c r="N78" s="451">
        <v>1935665.0449999999</v>
      </c>
      <c r="O78" s="451">
        <v>21826.63</v>
      </c>
      <c r="P78" s="451">
        <v>0</v>
      </c>
      <c r="Q78" s="451">
        <v>0</v>
      </c>
      <c r="R78" s="451">
        <v>0</v>
      </c>
      <c r="S78" s="451">
        <v>21826.63</v>
      </c>
      <c r="T78" s="451">
        <v>1957491.6749999998</v>
      </c>
      <c r="U78" s="451">
        <v>0</v>
      </c>
      <c r="V78" s="451">
        <v>2174144.6434435858</v>
      </c>
      <c r="W78" s="451">
        <v>1991084.33</v>
      </c>
      <c r="X78" s="451">
        <v>-15526.95</v>
      </c>
      <c r="Y78" s="451"/>
      <c r="Z78" s="451"/>
      <c r="AA78" s="456"/>
      <c r="AB78" s="451">
        <v>1975557.3800000001</v>
      </c>
      <c r="AC78" s="451">
        <v>198587.26344358572</v>
      </c>
      <c r="AD78" s="451">
        <v>278.02216882102005</v>
      </c>
      <c r="AE78" s="457">
        <v>198865.28561240673</v>
      </c>
      <c r="AF78" s="451">
        <v>-17787.682831179467</v>
      </c>
      <c r="AG78" s="451">
        <v>216652.9684435862</v>
      </c>
      <c r="AH78" s="451">
        <v>198587.26344358572</v>
      </c>
      <c r="AI78" s="451">
        <v>96783.252250000005</v>
      </c>
      <c r="AJ78" s="451">
        <v>278.02216882102005</v>
      </c>
      <c r="AK78" s="462"/>
      <c r="AL78" s="453" t="s">
        <v>108</v>
      </c>
      <c r="AM78" s="451">
        <v>198865.28561240673</v>
      </c>
      <c r="AN78" s="453" t="s">
        <v>108</v>
      </c>
      <c r="AO78" s="453">
        <v>93</v>
      </c>
      <c r="AP78" s="453">
        <v>99</v>
      </c>
      <c r="AQ78" s="458">
        <v>0.10159189341758339</v>
      </c>
      <c r="AS78" s="459" t="s">
        <v>104</v>
      </c>
      <c r="AT78" s="453" t="s">
        <v>104</v>
      </c>
      <c r="AU78" s="464" t="s">
        <v>241</v>
      </c>
      <c r="AV78" s="460" t="s">
        <v>36</v>
      </c>
      <c r="AW78" s="453" t="s">
        <v>1430</v>
      </c>
      <c r="BA78" s="464" t="str">
        <f>_xlfn.XLOOKUP(B78,'School List from APT'!A:A,'School List from APT'!C:C,"",FALSE)</f>
        <v>Four Oaks Primary School</v>
      </c>
    </row>
    <row r="79" spans="1:53" x14ac:dyDescent="0.25">
      <c r="A79" s="453" t="s">
        <v>243</v>
      </c>
      <c r="B79" s="453">
        <v>2486</v>
      </c>
      <c r="C79" s="453">
        <v>2486</v>
      </c>
      <c r="D79" s="453" t="s">
        <v>244</v>
      </c>
      <c r="E79" s="453" t="s">
        <v>83</v>
      </c>
      <c r="F79" s="454" t="s">
        <v>162</v>
      </c>
      <c r="G79" s="454" t="s">
        <v>36</v>
      </c>
      <c r="H79" s="451">
        <v>241382.41219026915</v>
      </c>
      <c r="I79" s="451">
        <v>0</v>
      </c>
      <c r="J79" s="455">
        <v>241382.41219026915</v>
      </c>
      <c r="K79" s="451">
        <v>1262202.4020506341</v>
      </c>
      <c r="L79" s="451">
        <v>232786.5</v>
      </c>
      <c r="M79" s="451">
        <v>3081.7038461538395</v>
      </c>
      <c r="N79" s="451">
        <v>1498070.605896788</v>
      </c>
      <c r="O79" s="451">
        <v>34342.098666666665</v>
      </c>
      <c r="P79" s="451">
        <v>0</v>
      </c>
      <c r="Q79" s="451">
        <v>0</v>
      </c>
      <c r="R79" s="451">
        <v>0</v>
      </c>
      <c r="S79" s="451">
        <v>34342.098666666665</v>
      </c>
      <c r="T79" s="451">
        <v>1532412.7045634547</v>
      </c>
      <c r="U79" s="451">
        <v>0</v>
      </c>
      <c r="V79" s="451">
        <v>1773795.1167537239</v>
      </c>
      <c r="W79" s="451">
        <v>1576124.95</v>
      </c>
      <c r="X79" s="451">
        <v>0</v>
      </c>
      <c r="Y79" s="451"/>
      <c r="Z79" s="451"/>
      <c r="AA79" s="456"/>
      <c r="AB79" s="451">
        <v>1576124.95</v>
      </c>
      <c r="AC79" s="451">
        <v>197670.16675372398</v>
      </c>
      <c r="AD79" s="451">
        <v>276.73823345521356</v>
      </c>
      <c r="AE79" s="457">
        <v>197946.90498717921</v>
      </c>
      <c r="AF79" s="451">
        <v>-43435.507203089946</v>
      </c>
      <c r="AG79" s="451">
        <v>241382.41219026915</v>
      </c>
      <c r="AH79" s="451">
        <v>197670.16675372398</v>
      </c>
      <c r="AI79" s="451">
        <v>74903.530294839395</v>
      </c>
      <c r="AJ79" s="451">
        <v>276.73823345521356</v>
      </c>
      <c r="AK79" s="462"/>
      <c r="AL79" s="453" t="s">
        <v>108</v>
      </c>
      <c r="AM79" s="451">
        <v>197946.90498717921</v>
      </c>
      <c r="AN79" s="453" t="s">
        <v>108</v>
      </c>
      <c r="AO79" s="453">
        <v>94</v>
      </c>
      <c r="AP79" s="453">
        <v>78</v>
      </c>
      <c r="AQ79" s="458">
        <v>0.129173364588862</v>
      </c>
      <c r="AS79" s="459" t="s">
        <v>104</v>
      </c>
      <c r="AT79" s="453" t="s">
        <v>104</v>
      </c>
      <c r="AU79" s="464" t="s">
        <v>243</v>
      </c>
      <c r="AV79" s="460" t="s">
        <v>36</v>
      </c>
      <c r="AW79" s="453" t="s">
        <v>1430</v>
      </c>
      <c r="BA79" s="464" t="str">
        <f>_xlfn.XLOOKUP(B79,'School List from APT'!A:A,'School List from APT'!C:C,"",FALSE)</f>
        <v>Forestdale Primary School</v>
      </c>
    </row>
    <row r="80" spans="1:53" x14ac:dyDescent="0.25">
      <c r="A80" s="453" t="s">
        <v>245</v>
      </c>
      <c r="B80" s="453">
        <v>2079</v>
      </c>
      <c r="C80" s="453">
        <v>2079</v>
      </c>
      <c r="D80" s="453" t="s">
        <v>246</v>
      </c>
      <c r="F80" s="454" t="s">
        <v>162</v>
      </c>
      <c r="G80" s="454" t="s">
        <v>36</v>
      </c>
      <c r="H80" s="451">
        <v>6484.1044698026963</v>
      </c>
      <c r="I80" s="451">
        <v>0</v>
      </c>
      <c r="J80" s="455">
        <v>6484.1044698026963</v>
      </c>
      <c r="K80" s="451">
        <v>1863759.6931353242</v>
      </c>
      <c r="L80" s="451">
        <v>372624</v>
      </c>
      <c r="M80" s="451">
        <v>0</v>
      </c>
      <c r="N80" s="451">
        <v>2236383.6931353239</v>
      </c>
      <c r="O80" s="451">
        <v>85309.593999999997</v>
      </c>
      <c r="P80" s="451">
        <v>0</v>
      </c>
      <c r="Q80" s="451">
        <v>0</v>
      </c>
      <c r="R80" s="451">
        <v>0</v>
      </c>
      <c r="S80" s="451">
        <v>85309.593999999997</v>
      </c>
      <c r="T80" s="451">
        <v>2321693.287135324</v>
      </c>
      <c r="U80" s="451">
        <v>0</v>
      </c>
      <c r="V80" s="451">
        <v>2328177.3916051267</v>
      </c>
      <c r="W80" s="451">
        <v>2300655.3199999998</v>
      </c>
      <c r="X80" s="451">
        <v>-4785</v>
      </c>
      <c r="Y80" s="451"/>
      <c r="Z80" s="451"/>
      <c r="AA80" s="456"/>
      <c r="AB80" s="451">
        <v>2295870.3199999998</v>
      </c>
      <c r="AC80" s="451">
        <v>32307.071605126839</v>
      </c>
      <c r="AD80" s="451">
        <v>9.0777462577237742</v>
      </c>
      <c r="AE80" s="457">
        <v>32316.149351384563</v>
      </c>
      <c r="AF80" s="451">
        <v>25832.044881581867</v>
      </c>
      <c r="AG80" s="451">
        <v>6484.1044698026963</v>
      </c>
      <c r="AH80" s="451">
        <v>6484.1044698026963</v>
      </c>
      <c r="AI80" s="451">
        <v>111819.1846567662</v>
      </c>
      <c r="AJ80" s="451">
        <v>9.0777462577237742</v>
      </c>
      <c r="AK80" s="462"/>
      <c r="AL80" s="453" t="s">
        <v>108</v>
      </c>
      <c r="AM80" s="451">
        <v>32316.149351384563</v>
      </c>
      <c r="AN80" s="453" t="s">
        <v>108</v>
      </c>
      <c r="AO80" s="453">
        <v>141</v>
      </c>
      <c r="AP80" s="453">
        <v>145</v>
      </c>
      <c r="AQ80" s="458">
        <v>1.3919215570140449E-2</v>
      </c>
      <c r="AS80" s="459" t="s">
        <v>104</v>
      </c>
      <c r="AT80" s="453" t="s">
        <v>104</v>
      </c>
      <c r="AU80" s="464" t="s">
        <v>245</v>
      </c>
      <c r="AV80" s="460" t="s">
        <v>36</v>
      </c>
      <c r="AW80" s="453" t="s">
        <v>1430</v>
      </c>
      <c r="BA80" s="464" t="str">
        <f>_xlfn.XLOOKUP(B80,'School List from APT'!A:A,'School List from APT'!C:C,"",FALSE)</f>
        <v>George Dixon Primary School</v>
      </c>
    </row>
    <row r="81" spans="1:53" x14ac:dyDescent="0.25">
      <c r="A81" s="453" t="s">
        <v>247</v>
      </c>
      <c r="B81" s="453">
        <v>2081</v>
      </c>
      <c r="C81" s="453">
        <v>2081</v>
      </c>
      <c r="D81" s="453" t="s">
        <v>248</v>
      </c>
      <c r="E81" s="453" t="s">
        <v>83</v>
      </c>
      <c r="F81" s="454" t="s">
        <v>162</v>
      </c>
      <c r="G81" s="454" t="s">
        <v>36</v>
      </c>
      <c r="H81" s="451">
        <v>325091.52896985383</v>
      </c>
      <c r="I81" s="451">
        <v>0</v>
      </c>
      <c r="J81" s="455">
        <v>325091.52896985383</v>
      </c>
      <c r="K81" s="451">
        <v>1767792.1716025034</v>
      </c>
      <c r="L81" s="451">
        <v>271931.15500000003</v>
      </c>
      <c r="M81" s="451">
        <v>-1843.5999999999985</v>
      </c>
      <c r="N81" s="451">
        <v>2037879.7266025033</v>
      </c>
      <c r="O81" s="451">
        <v>32939.379166666666</v>
      </c>
      <c r="P81" s="451">
        <v>0</v>
      </c>
      <c r="Q81" s="451">
        <v>0</v>
      </c>
      <c r="R81" s="451">
        <v>0</v>
      </c>
      <c r="S81" s="451">
        <v>32939.379166666666</v>
      </c>
      <c r="T81" s="451">
        <v>2070819.10576917</v>
      </c>
      <c r="U81" s="451">
        <v>0</v>
      </c>
      <c r="V81" s="451">
        <v>2395910.6347390236</v>
      </c>
      <c r="W81" s="451">
        <v>2254809.92</v>
      </c>
      <c r="X81" s="451">
        <v>0</v>
      </c>
      <c r="Y81" s="451"/>
      <c r="Z81" s="451"/>
      <c r="AA81" s="456"/>
      <c r="AB81" s="451">
        <v>2254809.92</v>
      </c>
      <c r="AC81" s="451">
        <v>141100.71473902371</v>
      </c>
      <c r="AD81" s="451">
        <v>197.54100063463321</v>
      </c>
      <c r="AE81" s="457">
        <v>141298.25573965834</v>
      </c>
      <c r="AF81" s="451">
        <v>-183793.27323019548</v>
      </c>
      <c r="AG81" s="451">
        <v>325091.52896985383</v>
      </c>
      <c r="AH81" s="451">
        <v>141100.71473902371</v>
      </c>
      <c r="AI81" s="451">
        <v>101893.98633012518</v>
      </c>
      <c r="AJ81" s="451">
        <v>197.54100063463321</v>
      </c>
      <c r="AK81" s="462"/>
      <c r="AL81" s="453" t="s">
        <v>108</v>
      </c>
      <c r="AM81" s="451">
        <v>141298.25573965834</v>
      </c>
      <c r="AN81" s="453" t="s">
        <v>108</v>
      </c>
      <c r="AO81" s="453">
        <v>105</v>
      </c>
      <c r="AP81" s="453">
        <v>122</v>
      </c>
      <c r="AQ81" s="458">
        <v>6.8233026895497748E-2</v>
      </c>
      <c r="AS81" s="459" t="s">
        <v>104</v>
      </c>
      <c r="AT81" s="453" t="s">
        <v>104</v>
      </c>
      <c r="AU81" s="464" t="s">
        <v>247</v>
      </c>
      <c r="AV81" s="460" t="s">
        <v>36</v>
      </c>
      <c r="AW81" s="453" t="s">
        <v>1430</v>
      </c>
      <c r="BA81" s="464" t="str">
        <f>_xlfn.XLOOKUP(B81,'School List from APT'!A:A,'School List from APT'!C:C,"",FALSE)</f>
        <v>Gilbertstone Primary School</v>
      </c>
    </row>
    <row r="82" spans="1:53" x14ac:dyDescent="0.25">
      <c r="A82" s="453" t="s">
        <v>249</v>
      </c>
      <c r="B82" s="453">
        <v>2296</v>
      </c>
      <c r="C82" s="453">
        <v>2296</v>
      </c>
      <c r="D82" s="453" t="s">
        <v>250</v>
      </c>
      <c r="F82" s="454" t="s">
        <v>162</v>
      </c>
      <c r="G82" s="454" t="s">
        <v>107</v>
      </c>
      <c r="H82" s="451">
        <v>351607.42593010166</v>
      </c>
      <c r="I82" s="451">
        <v>4.0698983357287943E-3</v>
      </c>
      <c r="J82" s="455">
        <v>351607.43</v>
      </c>
      <c r="K82" s="451">
        <v>1426786.1324841015</v>
      </c>
      <c r="L82" s="451">
        <v>230387.255</v>
      </c>
      <c r="M82" s="451">
        <v>0</v>
      </c>
      <c r="N82" s="451">
        <v>1657173.3874841016</v>
      </c>
      <c r="O82" s="451">
        <v>8270.9458333333332</v>
      </c>
      <c r="P82" s="451">
        <v>0</v>
      </c>
      <c r="Q82" s="451">
        <v>0</v>
      </c>
      <c r="R82" s="451">
        <v>0</v>
      </c>
      <c r="S82" s="451">
        <v>8270.9458333333332</v>
      </c>
      <c r="T82" s="451">
        <v>1665444.3333174349</v>
      </c>
      <c r="U82" s="451">
        <v>0</v>
      </c>
      <c r="V82" s="451">
        <v>2017051.7633174348</v>
      </c>
      <c r="W82" s="451">
        <v>1771352.42</v>
      </c>
      <c r="X82" s="451">
        <v>0</v>
      </c>
      <c r="Y82" s="451"/>
      <c r="Z82" s="451"/>
      <c r="AA82" s="456"/>
      <c r="AB82" s="451">
        <v>1771352.42</v>
      </c>
      <c r="AC82" s="451">
        <v>245699.34331743489</v>
      </c>
      <c r="AD82" s="451">
        <v>0</v>
      </c>
      <c r="AE82" s="457">
        <v>245699.34331743489</v>
      </c>
      <c r="AF82" s="451">
        <v>-105908.0866825651</v>
      </c>
      <c r="AG82" s="451">
        <v>351607.43</v>
      </c>
      <c r="AH82" s="451">
        <v>0</v>
      </c>
      <c r="AI82" s="451">
        <v>0</v>
      </c>
      <c r="AJ82" s="451">
        <v>0</v>
      </c>
      <c r="AK82" s="462"/>
      <c r="AL82" s="453" t="s">
        <v>108</v>
      </c>
      <c r="AM82" s="451">
        <v>245699.34331743489</v>
      </c>
      <c r="AN82" s="453" t="s">
        <v>108</v>
      </c>
      <c r="AO82" s="453">
        <v>79</v>
      </c>
      <c r="AP82" s="453">
        <v>66</v>
      </c>
      <c r="AQ82" s="458">
        <v>0.14752780288250225</v>
      </c>
      <c r="AS82" s="459" t="s">
        <v>104</v>
      </c>
      <c r="AT82" s="453" t="s">
        <v>109</v>
      </c>
      <c r="AU82" s="464" t="s">
        <v>249</v>
      </c>
      <c r="AV82" s="460" t="s">
        <v>36</v>
      </c>
      <c r="AW82" s="453" t="s">
        <v>1431</v>
      </c>
      <c r="BA82" s="464" t="str">
        <f>_xlfn.XLOOKUP(B82,'School List from APT'!A:A,'School List from APT'!C:C,"",FALSE)</f>
        <v>Glenmead Primary School</v>
      </c>
    </row>
    <row r="83" spans="1:53" x14ac:dyDescent="0.25">
      <c r="A83" s="453" t="s">
        <v>251</v>
      </c>
      <c r="B83" s="453">
        <v>2087</v>
      </c>
      <c r="C83" s="453">
        <v>2087</v>
      </c>
      <c r="D83" s="453" t="s">
        <v>252</v>
      </c>
      <c r="E83" s="453" t="s">
        <v>83</v>
      </c>
      <c r="F83" s="454" t="s">
        <v>162</v>
      </c>
      <c r="G83" s="454" t="s">
        <v>36</v>
      </c>
      <c r="H83" s="451">
        <v>203831.4365848047</v>
      </c>
      <c r="I83" s="451">
        <v>0</v>
      </c>
      <c r="J83" s="455">
        <v>203831.4365848047</v>
      </c>
      <c r="K83" s="451">
        <v>1803496.5649353696</v>
      </c>
      <c r="L83" s="451">
        <v>351745.25</v>
      </c>
      <c r="M83" s="451">
        <v>0</v>
      </c>
      <c r="N83" s="451">
        <v>2155241.8149353694</v>
      </c>
      <c r="O83" s="451">
        <v>60039.977666666666</v>
      </c>
      <c r="P83" s="451">
        <v>0</v>
      </c>
      <c r="Q83" s="451">
        <v>0</v>
      </c>
      <c r="R83" s="451">
        <v>0</v>
      </c>
      <c r="S83" s="451">
        <v>60039.977666666666</v>
      </c>
      <c r="T83" s="451">
        <v>2215281.7926020361</v>
      </c>
      <c r="U83" s="451">
        <v>0</v>
      </c>
      <c r="V83" s="451">
        <v>2419113.2291868408</v>
      </c>
      <c r="W83" s="451">
        <v>2196962.94</v>
      </c>
      <c r="X83" s="451">
        <v>-4294.6099999999997</v>
      </c>
      <c r="Y83" s="451"/>
      <c r="Z83" s="451"/>
      <c r="AA83" s="456"/>
      <c r="AB83" s="451">
        <v>2192668.33</v>
      </c>
      <c r="AC83" s="451">
        <v>226444.89918684075</v>
      </c>
      <c r="AD83" s="451">
        <v>285.36401121872655</v>
      </c>
      <c r="AE83" s="457">
        <v>226730.26319805946</v>
      </c>
      <c r="AF83" s="451">
        <v>22898.826613254758</v>
      </c>
      <c r="AG83" s="451">
        <v>203831.4365848047</v>
      </c>
      <c r="AH83" s="451">
        <v>203831.4365848047</v>
      </c>
      <c r="AI83" s="451">
        <v>107762.09074676847</v>
      </c>
      <c r="AJ83" s="451">
        <v>285.36401121872655</v>
      </c>
      <c r="AK83" s="462"/>
      <c r="AL83" s="453" t="s">
        <v>108</v>
      </c>
      <c r="AM83" s="451">
        <v>226730.26319805946</v>
      </c>
      <c r="AN83" s="453" t="s">
        <v>108</v>
      </c>
      <c r="AO83" s="453">
        <v>88</v>
      </c>
      <c r="AP83" s="453">
        <v>97</v>
      </c>
      <c r="AQ83" s="458">
        <v>0.10234827187910282</v>
      </c>
      <c r="AS83" s="459" t="s">
        <v>104</v>
      </c>
      <c r="AT83" s="453" t="s">
        <v>104</v>
      </c>
      <c r="AU83" s="464" t="s">
        <v>251</v>
      </c>
      <c r="AV83" s="460" t="s">
        <v>36</v>
      </c>
      <c r="AW83" s="453" t="s">
        <v>1430</v>
      </c>
      <c r="BA83" s="464" t="str">
        <f>_xlfn.XLOOKUP(B83,'School List from APT'!A:A,'School List from APT'!C:C,"",FALSE)</f>
        <v>Grendon Primary School</v>
      </c>
    </row>
    <row r="84" spans="1:53" x14ac:dyDescent="0.25">
      <c r="A84" s="453" t="s">
        <v>253</v>
      </c>
      <c r="B84" s="453">
        <v>2466</v>
      </c>
      <c r="C84" s="453">
        <v>2466</v>
      </c>
      <c r="D84" s="453" t="s">
        <v>254</v>
      </c>
      <c r="E84" s="453" t="s">
        <v>83</v>
      </c>
      <c r="F84" s="454" t="s">
        <v>162</v>
      </c>
      <c r="G84" s="454" t="s">
        <v>36</v>
      </c>
      <c r="H84" s="451">
        <v>727850.38012035214</v>
      </c>
      <c r="I84" s="451">
        <v>0</v>
      </c>
      <c r="J84" s="455">
        <v>727850.38012035214</v>
      </c>
      <c r="K84" s="451">
        <v>3290857.8687266507</v>
      </c>
      <c r="L84" s="451">
        <v>459564.875</v>
      </c>
      <c r="M84" s="451">
        <v>7916.091818181827</v>
      </c>
      <c r="N84" s="451">
        <v>3758338.8355448325</v>
      </c>
      <c r="O84" s="451">
        <v>75557.487833333333</v>
      </c>
      <c r="P84" s="451">
        <v>0</v>
      </c>
      <c r="Q84" s="451">
        <v>0</v>
      </c>
      <c r="R84" s="451">
        <v>0</v>
      </c>
      <c r="S84" s="451">
        <v>75557.487833333333</v>
      </c>
      <c r="T84" s="451">
        <v>3833896.3233781657</v>
      </c>
      <c r="U84" s="451">
        <v>0</v>
      </c>
      <c r="V84" s="451">
        <v>4561746.7034985181</v>
      </c>
      <c r="W84" s="451">
        <v>3803768.49</v>
      </c>
      <c r="X84" s="451">
        <v>-11764.75</v>
      </c>
      <c r="Y84" s="451"/>
      <c r="Z84" s="451"/>
      <c r="AA84" s="456"/>
      <c r="AB84" s="451">
        <v>3792003.74</v>
      </c>
      <c r="AC84" s="451">
        <v>769742.96349851787</v>
      </c>
      <c r="AD84" s="451">
        <v>1018.990532168493</v>
      </c>
      <c r="AE84" s="457">
        <v>770761.95403068641</v>
      </c>
      <c r="AF84" s="451">
        <v>42911.573910334264</v>
      </c>
      <c r="AG84" s="451">
        <v>727850.38012035214</v>
      </c>
      <c r="AH84" s="451">
        <v>727850.38012035214</v>
      </c>
      <c r="AI84" s="451">
        <v>187916.94177724165</v>
      </c>
      <c r="AJ84" s="451">
        <v>1018.990532168493</v>
      </c>
      <c r="AK84" s="462"/>
      <c r="AL84" s="453" t="s">
        <v>108</v>
      </c>
      <c r="AM84" s="451">
        <v>770761.95403068641</v>
      </c>
      <c r="AN84" s="453" t="s">
        <v>108</v>
      </c>
      <c r="AO84" s="453">
        <v>8</v>
      </c>
      <c r="AP84" s="453">
        <v>38</v>
      </c>
      <c r="AQ84" s="458">
        <v>0.20103880987359196</v>
      </c>
      <c r="AS84" s="459" t="s">
        <v>104</v>
      </c>
      <c r="AT84" s="453" t="s">
        <v>104</v>
      </c>
      <c r="AU84" s="464" t="s">
        <v>253</v>
      </c>
      <c r="AV84" s="460" t="s">
        <v>36</v>
      </c>
      <c r="AW84" s="453" t="s">
        <v>1430</v>
      </c>
      <c r="BA84" s="464" t="str">
        <f>_xlfn.XLOOKUP(B84,'School List from APT'!A:A,'School List from APT'!C:C,"",FALSE)</f>
        <v>Grove School</v>
      </c>
    </row>
    <row r="85" spans="1:53" x14ac:dyDescent="0.25">
      <c r="A85" s="453" t="s">
        <v>255</v>
      </c>
      <c r="B85" s="453">
        <v>3316</v>
      </c>
      <c r="C85" s="453">
        <v>3316</v>
      </c>
      <c r="D85" s="453" t="s">
        <v>256</v>
      </c>
      <c r="E85" s="453"/>
      <c r="F85" s="454" t="s">
        <v>857</v>
      </c>
      <c r="G85" s="454" t="s">
        <v>36</v>
      </c>
      <c r="H85" s="451">
        <v>72390.291528943897</v>
      </c>
      <c r="I85" s="451">
        <v>0</v>
      </c>
      <c r="J85" s="455">
        <v>72390.291528943897</v>
      </c>
      <c r="K85" s="451">
        <v>3046.1919589999598</v>
      </c>
      <c r="L85" s="451">
        <v>0</v>
      </c>
      <c r="M85" s="451">
        <v>0</v>
      </c>
      <c r="N85" s="451">
        <v>3046.1919589999598</v>
      </c>
      <c r="O85" s="451">
        <v>0</v>
      </c>
      <c r="P85" s="451">
        <v>0</v>
      </c>
      <c r="Q85" s="451">
        <v>0</v>
      </c>
      <c r="R85" s="451">
        <v>0</v>
      </c>
      <c r="S85" s="451">
        <v>0</v>
      </c>
      <c r="T85" s="451">
        <v>3046.1919589999598</v>
      </c>
      <c r="U85" s="451">
        <v>0</v>
      </c>
      <c r="V85" s="451">
        <v>75436.483487943857</v>
      </c>
      <c r="W85" s="451">
        <v>76070.52</v>
      </c>
      <c r="X85" s="451">
        <v>0</v>
      </c>
      <c r="Y85" s="451"/>
      <c r="Z85" s="451"/>
      <c r="AA85" s="456"/>
      <c r="AB85" s="451">
        <v>76070.52</v>
      </c>
      <c r="AC85" s="451">
        <v>-634.03651205614733</v>
      </c>
      <c r="AD85" s="451">
        <v>0</v>
      </c>
      <c r="AE85" s="457">
        <v>-634.03651205614733</v>
      </c>
      <c r="AF85" s="451">
        <v>-73024.328041000044</v>
      </c>
      <c r="AG85" s="451">
        <v>72390.291528943897</v>
      </c>
      <c r="AH85" s="451">
        <v>0</v>
      </c>
      <c r="AI85" s="451">
        <v>0</v>
      </c>
      <c r="AJ85" s="451">
        <v>0</v>
      </c>
      <c r="AK85" s="462"/>
      <c r="AL85" s="453" t="s">
        <v>1432</v>
      </c>
      <c r="AM85" s="451">
        <v>-634.03651205614733</v>
      </c>
      <c r="AN85" s="453" t="s">
        <v>1432</v>
      </c>
      <c r="AO85" s="453">
        <v>152</v>
      </c>
      <c r="AP85" s="453">
        <v>168</v>
      </c>
      <c r="AQ85" s="458">
        <v>-0.20814069519909587</v>
      </c>
      <c r="AR85" s="453"/>
      <c r="AS85" s="459" t="s">
        <v>104</v>
      </c>
      <c r="AT85" s="453" t="s">
        <v>104</v>
      </c>
      <c r="AU85" s="453" t="s">
        <v>255</v>
      </c>
      <c r="AV85" s="460" t="s">
        <v>36</v>
      </c>
      <c r="AW85" s="453" t="s">
        <v>1433</v>
      </c>
      <c r="BA85" s="464" t="str">
        <f>_xlfn.XLOOKUP(B85,'School List from APT'!A:A,'School List from APT'!C:C,"",FALSE)</f>
        <v>Guardian Angels Catholic Primary School</v>
      </c>
    </row>
    <row r="86" spans="1:53" x14ac:dyDescent="0.25">
      <c r="A86" s="453" t="s">
        <v>257</v>
      </c>
      <c r="B86" s="453">
        <v>2091</v>
      </c>
      <c r="C86" s="453">
        <v>2091</v>
      </c>
      <c r="D86" s="453" t="s">
        <v>258</v>
      </c>
      <c r="E86" s="453" t="s">
        <v>83</v>
      </c>
      <c r="F86" s="454" t="s">
        <v>162</v>
      </c>
      <c r="G86" s="454" t="s">
        <v>36</v>
      </c>
      <c r="H86" s="451">
        <v>-43441.579158887966</v>
      </c>
      <c r="I86" s="451">
        <v>0</v>
      </c>
      <c r="J86" s="455">
        <v>-43441.579158887966</v>
      </c>
      <c r="K86" s="451">
        <v>974046.81586098543</v>
      </c>
      <c r="L86" s="451">
        <v>185873.125</v>
      </c>
      <c r="M86" s="451">
        <v>-103.35000000000001</v>
      </c>
      <c r="N86" s="451">
        <v>1159816.5908609852</v>
      </c>
      <c r="O86" s="451">
        <v>18436.745666666669</v>
      </c>
      <c r="P86" s="451">
        <v>0</v>
      </c>
      <c r="Q86" s="451">
        <v>0</v>
      </c>
      <c r="R86" s="451">
        <v>0</v>
      </c>
      <c r="S86" s="451">
        <v>18436.745666666669</v>
      </c>
      <c r="T86" s="451">
        <v>1178253.3365276519</v>
      </c>
      <c r="U86" s="451">
        <v>0</v>
      </c>
      <c r="V86" s="451">
        <v>1134811.7573687639</v>
      </c>
      <c r="W86" s="451">
        <v>1282564.46</v>
      </c>
      <c r="X86" s="451">
        <v>-7972.94</v>
      </c>
      <c r="Y86" s="451"/>
      <c r="Z86" s="451"/>
      <c r="AA86" s="456"/>
      <c r="AB86" s="451">
        <v>1274591.52</v>
      </c>
      <c r="AC86" s="451">
        <v>-139779.76263123611</v>
      </c>
      <c r="AD86" s="451">
        <v>0</v>
      </c>
      <c r="AE86" s="457">
        <v>-139779.76263123611</v>
      </c>
      <c r="AF86" s="451">
        <v>-96338.183472348144</v>
      </c>
      <c r="AG86" s="451">
        <v>-43441.579158887966</v>
      </c>
      <c r="AH86" s="451">
        <v>0</v>
      </c>
      <c r="AI86" s="451">
        <v>0</v>
      </c>
      <c r="AJ86" s="451">
        <v>0</v>
      </c>
      <c r="AK86" s="462"/>
      <c r="AL86" s="453" t="s">
        <v>103</v>
      </c>
      <c r="AM86" s="451">
        <v>-139779.76263123611</v>
      </c>
      <c r="AN86" s="453" t="s">
        <v>103</v>
      </c>
      <c r="AO86" s="453">
        <v>164</v>
      </c>
      <c r="AP86" s="453">
        <v>165</v>
      </c>
      <c r="AQ86" s="458">
        <v>-0.11863302933066269</v>
      </c>
      <c r="AS86" s="459" t="s">
        <v>104</v>
      </c>
      <c r="AT86" s="453" t="s">
        <v>104</v>
      </c>
      <c r="AU86" s="464" t="s">
        <v>257</v>
      </c>
      <c r="AV86" s="460" t="s">
        <v>36</v>
      </c>
      <c r="AW86" s="453" t="s">
        <v>1430</v>
      </c>
      <c r="BA86" s="464" t="str">
        <f>_xlfn.XLOOKUP(B86,'School List from APT'!A:A,'School List from APT'!C:C,"",FALSE)</f>
        <v>Gunter Primary School</v>
      </c>
    </row>
    <row r="87" spans="1:53" x14ac:dyDescent="0.25">
      <c r="A87" s="453" t="s">
        <v>259</v>
      </c>
      <c r="B87" s="453">
        <v>2093</v>
      </c>
      <c r="C87" s="453">
        <v>2093</v>
      </c>
      <c r="D87" s="453" t="s">
        <v>260</v>
      </c>
      <c r="E87" s="453" t="s">
        <v>83</v>
      </c>
      <c r="F87" s="454" t="s">
        <v>162</v>
      </c>
      <c r="G87" s="454" t="s">
        <v>36</v>
      </c>
      <c r="H87" s="451">
        <v>299917.23812506121</v>
      </c>
      <c r="I87" s="451">
        <v>0</v>
      </c>
      <c r="J87" s="455">
        <v>299917.23812506121</v>
      </c>
      <c r="K87" s="451">
        <v>1726063.9435841732</v>
      </c>
      <c r="L87" s="451">
        <v>251277.5</v>
      </c>
      <c r="M87" s="451">
        <v>20504.399999999965</v>
      </c>
      <c r="N87" s="451">
        <v>1997845.8435841731</v>
      </c>
      <c r="O87" s="451">
        <v>25165.419166666667</v>
      </c>
      <c r="P87" s="451">
        <v>0</v>
      </c>
      <c r="Q87" s="451">
        <v>0</v>
      </c>
      <c r="R87" s="451">
        <v>0</v>
      </c>
      <c r="S87" s="451">
        <v>25165.419166666667</v>
      </c>
      <c r="T87" s="451">
        <v>2023011.2627508398</v>
      </c>
      <c r="U87" s="451">
        <v>0</v>
      </c>
      <c r="V87" s="451">
        <v>2322928.500875901</v>
      </c>
      <c r="W87" s="451">
        <v>2036111.25</v>
      </c>
      <c r="X87" s="451">
        <v>-4481</v>
      </c>
      <c r="Y87" s="451"/>
      <c r="Z87" s="451"/>
      <c r="AA87" s="493"/>
      <c r="AB87" s="451">
        <v>2031630.25</v>
      </c>
      <c r="AC87" s="451">
        <v>291298.25087590097</v>
      </c>
      <c r="AD87" s="451">
        <v>407.81755122626134</v>
      </c>
      <c r="AE87" s="457">
        <v>291706.0684271272</v>
      </c>
      <c r="AF87" s="451">
        <v>-8211.1696979340049</v>
      </c>
      <c r="AG87" s="451">
        <v>299917.23812506121</v>
      </c>
      <c r="AH87" s="451">
        <v>291298.25087590097</v>
      </c>
      <c r="AI87" s="451">
        <v>99892.292179208656</v>
      </c>
      <c r="AJ87" s="451">
        <v>407.81755122626134</v>
      </c>
      <c r="AK87" s="462"/>
      <c r="AL87" s="453" t="s">
        <v>108</v>
      </c>
      <c r="AM87" s="451">
        <v>291706.0684271272</v>
      </c>
      <c r="AN87" s="453" t="s">
        <v>108</v>
      </c>
      <c r="AO87" s="453">
        <v>61</v>
      </c>
      <c r="AP87" s="453">
        <v>67</v>
      </c>
      <c r="AQ87" s="458">
        <v>0.14419399130307986</v>
      </c>
      <c r="AS87" s="459" t="s">
        <v>104</v>
      </c>
      <c r="AT87" s="453" t="s">
        <v>104</v>
      </c>
      <c r="AU87" s="464" t="s">
        <v>259</v>
      </c>
      <c r="AV87" s="460" t="s">
        <v>36</v>
      </c>
      <c r="AW87" s="453" t="s">
        <v>1430</v>
      </c>
      <c r="BA87" s="464" t="str">
        <f>_xlfn.XLOOKUP(B87,'School List from APT'!A:A,'School List from APT'!C:C,"",FALSE)</f>
        <v>Hall Green Infant School</v>
      </c>
    </row>
    <row r="88" spans="1:53" x14ac:dyDescent="0.25">
      <c r="A88" s="453" t="s">
        <v>261</v>
      </c>
      <c r="B88" s="453">
        <v>2092</v>
      </c>
      <c r="C88" s="453">
        <v>2092</v>
      </c>
      <c r="D88" s="453" t="s">
        <v>262</v>
      </c>
      <c r="F88" s="454" t="s">
        <v>162</v>
      </c>
      <c r="G88" s="454" t="s">
        <v>107</v>
      </c>
      <c r="H88" s="451">
        <v>514866.11231313553</v>
      </c>
      <c r="I88" s="451">
        <v>-2.3131355410441756E-3</v>
      </c>
      <c r="J88" s="455">
        <v>514866.11</v>
      </c>
      <c r="K88" s="451">
        <v>2068412.568104035</v>
      </c>
      <c r="L88" s="451">
        <v>228798.5</v>
      </c>
      <c r="M88" s="451">
        <v>0</v>
      </c>
      <c r="N88" s="451">
        <v>2297211.0681040352</v>
      </c>
      <c r="O88" s="451">
        <v>79236.355047619043</v>
      </c>
      <c r="P88" s="451">
        <v>0</v>
      </c>
      <c r="Q88" s="451">
        <v>0</v>
      </c>
      <c r="R88" s="451">
        <v>0</v>
      </c>
      <c r="S88" s="451">
        <v>79236.355047619043</v>
      </c>
      <c r="T88" s="451">
        <v>2376447.4231516542</v>
      </c>
      <c r="U88" s="451">
        <v>0</v>
      </c>
      <c r="V88" s="451">
        <v>2891313.5331516541</v>
      </c>
      <c r="W88" s="451">
        <v>2160243.04</v>
      </c>
      <c r="X88" s="451">
        <v>0</v>
      </c>
      <c r="Y88" s="451"/>
      <c r="Z88" s="451"/>
      <c r="AA88" s="456"/>
      <c r="AB88" s="451">
        <v>2160243.04</v>
      </c>
      <c r="AC88" s="451">
        <v>731070.49315165402</v>
      </c>
      <c r="AD88" s="451">
        <v>0</v>
      </c>
      <c r="AE88" s="457">
        <v>731070.49315165402</v>
      </c>
      <c r="AF88" s="451">
        <v>216204.38315165404</v>
      </c>
      <c r="AG88" s="451">
        <v>514866.11</v>
      </c>
      <c r="AH88" s="451">
        <v>0</v>
      </c>
      <c r="AI88" s="451">
        <v>0</v>
      </c>
      <c r="AJ88" s="451">
        <v>0</v>
      </c>
      <c r="AK88" s="462"/>
      <c r="AL88" s="453" t="s">
        <v>108</v>
      </c>
      <c r="AM88" s="451">
        <v>731070.49315165402</v>
      </c>
      <c r="AN88" s="453" t="s">
        <v>108</v>
      </c>
      <c r="AO88" s="453">
        <v>10</v>
      </c>
      <c r="AP88" s="453">
        <v>12</v>
      </c>
      <c r="AQ88" s="458">
        <v>0.30763167155707799</v>
      </c>
      <c r="AS88" s="459" t="s">
        <v>104</v>
      </c>
      <c r="AT88" s="453" t="s">
        <v>109</v>
      </c>
      <c r="AU88" s="464" t="s">
        <v>261</v>
      </c>
      <c r="AV88" s="460" t="s">
        <v>36</v>
      </c>
      <c r="AW88" s="453" t="s">
        <v>1431</v>
      </c>
      <c r="BA88" s="464" t="str">
        <f>_xlfn.XLOOKUP(B88,'School List from APT'!A:A,'School List from APT'!C:C,"",FALSE)</f>
        <v>Hall Green Junior School</v>
      </c>
    </row>
    <row r="89" spans="1:53" x14ac:dyDescent="0.25">
      <c r="A89" s="453" t="s">
        <v>263</v>
      </c>
      <c r="B89" s="453">
        <v>2477</v>
      </c>
      <c r="C89" s="453">
        <v>2477</v>
      </c>
      <c r="D89" s="453" t="s">
        <v>264</v>
      </c>
      <c r="F89" s="454" t="s">
        <v>162</v>
      </c>
      <c r="G89" s="454" t="s">
        <v>36</v>
      </c>
      <c r="H89" s="451">
        <v>371786.55640053679</v>
      </c>
      <c r="I89" s="451">
        <v>0</v>
      </c>
      <c r="J89" s="455">
        <v>371786.55640053679</v>
      </c>
      <c r="K89" s="451">
        <v>3125091.6850000001</v>
      </c>
      <c r="L89" s="451">
        <v>303969.375</v>
      </c>
      <c r="M89" s="451">
        <v>0</v>
      </c>
      <c r="N89" s="451">
        <v>3429061.06</v>
      </c>
      <c r="O89" s="451">
        <v>101720.15075</v>
      </c>
      <c r="P89" s="451">
        <v>0</v>
      </c>
      <c r="Q89" s="451">
        <v>0</v>
      </c>
      <c r="R89" s="451">
        <v>0</v>
      </c>
      <c r="S89" s="451">
        <v>101720.15075</v>
      </c>
      <c r="T89" s="451">
        <v>3530781.2107500001</v>
      </c>
      <c r="U89" s="451">
        <v>0</v>
      </c>
      <c r="V89" s="451">
        <v>3902567.7671505371</v>
      </c>
      <c r="W89" s="451">
        <v>3601013.58</v>
      </c>
      <c r="X89" s="451">
        <v>0</v>
      </c>
      <c r="Y89" s="451"/>
      <c r="Z89" s="451"/>
      <c r="AA89" s="456"/>
      <c r="AB89" s="451">
        <v>3601013.58</v>
      </c>
      <c r="AC89" s="451">
        <v>301554.18715053704</v>
      </c>
      <c r="AD89" s="451">
        <v>422.17586201075187</v>
      </c>
      <c r="AE89" s="457">
        <v>301976.36301254778</v>
      </c>
      <c r="AF89" s="451">
        <v>-69810.193387989013</v>
      </c>
      <c r="AG89" s="451">
        <v>371786.55640053679</v>
      </c>
      <c r="AH89" s="451">
        <v>301554.18715053704</v>
      </c>
      <c r="AI89" s="451">
        <v>171453.05300000001</v>
      </c>
      <c r="AJ89" s="451">
        <v>422.17586201075187</v>
      </c>
      <c r="AK89" s="462"/>
      <c r="AL89" s="453" t="s">
        <v>108</v>
      </c>
      <c r="AM89" s="451">
        <v>301976.36301254778</v>
      </c>
      <c r="AN89" s="453" t="s">
        <v>108</v>
      </c>
      <c r="AO89" s="453">
        <v>57</v>
      </c>
      <c r="AP89" s="453">
        <v>109</v>
      </c>
      <c r="AQ89" s="458">
        <v>8.5526784297235633E-2</v>
      </c>
      <c r="AS89" s="459" t="s">
        <v>104</v>
      </c>
      <c r="AT89" s="453" t="s">
        <v>104</v>
      </c>
      <c r="AU89" s="464" t="s">
        <v>263</v>
      </c>
      <c r="AV89" s="460" t="s">
        <v>36</v>
      </c>
      <c r="AW89" s="453" t="s">
        <v>1430</v>
      </c>
      <c r="BA89" s="464" t="str">
        <f>_xlfn.XLOOKUP(B89,'School List from APT'!A:A,'School List from APT'!C:C,"",FALSE)</f>
        <v>Harborne Primary School</v>
      </c>
    </row>
    <row r="90" spans="1:53" x14ac:dyDescent="0.25">
      <c r="A90" s="453" t="s">
        <v>265</v>
      </c>
      <c r="B90" s="453">
        <v>3436</v>
      </c>
      <c r="C90" s="453">
        <v>3436</v>
      </c>
      <c r="D90" s="453" t="s">
        <v>266</v>
      </c>
      <c r="E90" s="453" t="s">
        <v>83</v>
      </c>
      <c r="F90" s="454" t="s">
        <v>162</v>
      </c>
      <c r="G90" s="454" t="s">
        <v>36</v>
      </c>
      <c r="H90" s="451">
        <v>-709264.89592389134</v>
      </c>
      <c r="I90" s="451">
        <v>0</v>
      </c>
      <c r="J90" s="455">
        <v>-709264.89592389134</v>
      </c>
      <c r="K90" s="451">
        <v>844892.5928781972</v>
      </c>
      <c r="L90" s="451">
        <v>167159.25</v>
      </c>
      <c r="M90" s="451">
        <v>0</v>
      </c>
      <c r="N90" s="451">
        <v>1012051.8428781972</v>
      </c>
      <c r="O90" s="451">
        <v>3113.333333333333</v>
      </c>
      <c r="P90" s="451">
        <v>64260</v>
      </c>
      <c r="Q90" s="451">
        <v>0</v>
      </c>
      <c r="R90" s="451">
        <v>0</v>
      </c>
      <c r="S90" s="451">
        <v>67373.333333333328</v>
      </c>
      <c r="T90" s="451">
        <v>1079425.1762115306</v>
      </c>
      <c r="U90" s="451">
        <v>0</v>
      </c>
      <c r="V90" s="451">
        <v>370160.28028763924</v>
      </c>
      <c r="W90" s="451">
        <v>1183255.4099999999</v>
      </c>
      <c r="X90" s="451">
        <v>0</v>
      </c>
      <c r="Y90" s="451"/>
      <c r="Z90" s="451"/>
      <c r="AA90" s="456"/>
      <c r="AB90" s="451">
        <v>1183255.4099999999</v>
      </c>
      <c r="AC90" s="451">
        <v>-813095.12971236068</v>
      </c>
      <c r="AD90" s="451">
        <v>0</v>
      </c>
      <c r="AE90" s="457">
        <v>-813095.12971236068</v>
      </c>
      <c r="AF90" s="451">
        <v>-103830.23378846934</v>
      </c>
      <c r="AG90" s="451">
        <v>-709264.89592389134</v>
      </c>
      <c r="AH90" s="451">
        <v>0</v>
      </c>
      <c r="AI90" s="451">
        <v>0</v>
      </c>
      <c r="AJ90" s="451">
        <v>0</v>
      </c>
      <c r="AK90" s="462"/>
      <c r="AL90" s="453" t="s">
        <v>103</v>
      </c>
      <c r="AM90" s="451">
        <v>-813095.12971236068</v>
      </c>
      <c r="AN90" s="453" t="s">
        <v>103</v>
      </c>
      <c r="AO90" s="453">
        <v>169</v>
      </c>
      <c r="AP90" s="453">
        <v>169</v>
      </c>
      <c r="AQ90" s="458">
        <v>-0.75326678275754955</v>
      </c>
      <c r="AS90" s="459" t="s">
        <v>104</v>
      </c>
      <c r="AT90" s="453" t="s">
        <v>104</v>
      </c>
      <c r="AU90" s="464" t="s">
        <v>265</v>
      </c>
      <c r="AV90" s="460" t="s">
        <v>36</v>
      </c>
      <c r="AW90" s="453" t="s">
        <v>1430</v>
      </c>
      <c r="BA90" s="464" t="str">
        <f>_xlfn.XLOOKUP(B90,'School List from APT'!A:A,'School List from APT'!C:C,"",FALSE)</f>
        <v>Harper Bell Seventh-day Adventist School</v>
      </c>
    </row>
    <row r="91" spans="1:53" x14ac:dyDescent="0.25">
      <c r="A91" s="453" t="s">
        <v>267</v>
      </c>
      <c r="B91" s="453">
        <v>2099</v>
      </c>
      <c r="C91" s="453">
        <v>2099</v>
      </c>
      <c r="D91" s="453" t="s">
        <v>268</v>
      </c>
      <c r="F91" s="454" t="s">
        <v>162</v>
      </c>
      <c r="G91" s="454" t="s">
        <v>36</v>
      </c>
      <c r="H91" s="451">
        <v>164862.17909286328</v>
      </c>
      <c r="I91" s="451">
        <v>0</v>
      </c>
      <c r="J91" s="455">
        <v>164862.17909286328</v>
      </c>
      <c r="K91" s="451">
        <v>1365704.8969688078</v>
      </c>
      <c r="L91" s="451">
        <v>253565.125</v>
      </c>
      <c r="M91" s="451">
        <v>-51105.128571428555</v>
      </c>
      <c r="N91" s="451">
        <v>1568164.8933973792</v>
      </c>
      <c r="O91" s="451">
        <v>185122.33329523905</v>
      </c>
      <c r="P91" s="451">
        <v>0</v>
      </c>
      <c r="Q91" s="451">
        <v>0</v>
      </c>
      <c r="R91" s="451">
        <v>0</v>
      </c>
      <c r="S91" s="451">
        <v>185122.33329523905</v>
      </c>
      <c r="T91" s="451">
        <v>1753287.2266926183</v>
      </c>
      <c r="U91" s="451">
        <v>0</v>
      </c>
      <c r="V91" s="451">
        <v>1918149.4057854817</v>
      </c>
      <c r="W91" s="451">
        <v>1697116.69</v>
      </c>
      <c r="X91" s="451">
        <v>-3695</v>
      </c>
      <c r="Y91" s="451"/>
      <c r="Z91" s="451"/>
      <c r="AA91" s="456"/>
      <c r="AB91" s="451">
        <v>1693421.69</v>
      </c>
      <c r="AC91" s="451">
        <v>224727.71578548173</v>
      </c>
      <c r="AD91" s="451">
        <v>230.8070507300086</v>
      </c>
      <c r="AE91" s="457">
        <v>224958.52283621175</v>
      </c>
      <c r="AF91" s="451">
        <v>60096.343743348465</v>
      </c>
      <c r="AG91" s="451">
        <v>164862.17909286328</v>
      </c>
      <c r="AH91" s="451">
        <v>164862.17909286328</v>
      </c>
      <c r="AI91" s="451">
        <v>78408.24466986896</v>
      </c>
      <c r="AJ91" s="451">
        <v>230.8070507300086</v>
      </c>
      <c r="AK91" s="462"/>
      <c r="AL91" s="453" t="s">
        <v>108</v>
      </c>
      <c r="AM91" s="451">
        <v>224958.52283621175</v>
      </c>
      <c r="AN91" s="453" t="s">
        <v>108</v>
      </c>
      <c r="AO91" s="453">
        <v>89</v>
      </c>
      <c r="AP91" s="453">
        <v>80</v>
      </c>
      <c r="AQ91" s="458">
        <v>0.12830671404626098</v>
      </c>
      <c r="AS91" s="459" t="s">
        <v>104</v>
      </c>
      <c r="AT91" s="453" t="s">
        <v>104</v>
      </c>
      <c r="AU91" s="464" t="s">
        <v>267</v>
      </c>
      <c r="AV91" s="460" t="s">
        <v>36</v>
      </c>
      <c r="AW91" s="453" t="s">
        <v>1430</v>
      </c>
      <c r="BA91" s="464" t="str">
        <f>_xlfn.XLOOKUP(B91,'School List from APT'!A:A,'School List from APT'!C:C,"",FALSE)</f>
        <v>Hawthorn Primary School</v>
      </c>
    </row>
    <row r="92" spans="1:53" x14ac:dyDescent="0.25">
      <c r="A92" s="453" t="s">
        <v>269</v>
      </c>
      <c r="B92" s="453">
        <v>2313</v>
      </c>
      <c r="C92" s="453">
        <v>2313</v>
      </c>
      <c r="D92" s="453" t="s">
        <v>270</v>
      </c>
      <c r="F92" s="454" t="s">
        <v>162</v>
      </c>
      <c r="G92" s="454" t="s">
        <v>36</v>
      </c>
      <c r="H92" s="451">
        <v>141690.80137946969</v>
      </c>
      <c r="I92" s="451">
        <v>0</v>
      </c>
      <c r="J92" s="455">
        <v>141690.80137946969</v>
      </c>
      <c r="K92" s="451">
        <v>1860871.6526916418</v>
      </c>
      <c r="L92" s="451">
        <v>351189.625</v>
      </c>
      <c r="M92" s="451">
        <v>0</v>
      </c>
      <c r="N92" s="451">
        <v>2212061.2776916418</v>
      </c>
      <c r="O92" s="451">
        <v>55369.419166666667</v>
      </c>
      <c r="P92" s="451">
        <v>0</v>
      </c>
      <c r="Q92" s="451">
        <v>0</v>
      </c>
      <c r="R92" s="451">
        <v>0</v>
      </c>
      <c r="S92" s="451">
        <v>55369.419166666667</v>
      </c>
      <c r="T92" s="451">
        <v>2267430.6968583083</v>
      </c>
      <c r="U92" s="451">
        <v>0</v>
      </c>
      <c r="V92" s="451">
        <v>2409121.498237778</v>
      </c>
      <c r="W92" s="451">
        <v>2253215.66</v>
      </c>
      <c r="X92" s="451">
        <v>0</v>
      </c>
      <c r="Y92" s="451"/>
      <c r="Z92" s="451"/>
      <c r="AA92" s="456"/>
      <c r="AB92" s="451">
        <v>2253215.66</v>
      </c>
      <c r="AC92" s="451">
        <v>155905.83823777782</v>
      </c>
      <c r="AD92" s="451">
        <v>198.36712193125757</v>
      </c>
      <c r="AE92" s="457">
        <v>156104.20535970907</v>
      </c>
      <c r="AF92" s="451">
        <v>14413.403980239382</v>
      </c>
      <c r="AG92" s="451">
        <v>141690.80137946969</v>
      </c>
      <c r="AH92" s="451">
        <v>141690.80137946969</v>
      </c>
      <c r="AI92" s="451">
        <v>110603.06388458209</v>
      </c>
      <c r="AJ92" s="451">
        <v>198.36712193125757</v>
      </c>
      <c r="AK92" s="462"/>
      <c r="AL92" s="453" t="s">
        <v>108</v>
      </c>
      <c r="AM92" s="451">
        <v>156104.20535970907</v>
      </c>
      <c r="AN92" s="453" t="s">
        <v>108</v>
      </c>
      <c r="AO92" s="453">
        <v>103</v>
      </c>
      <c r="AP92" s="453">
        <v>120</v>
      </c>
      <c r="AQ92" s="458">
        <v>6.8846296195955586E-2</v>
      </c>
      <c r="AS92" s="459" t="s">
        <v>104</v>
      </c>
      <c r="AT92" s="453" t="s">
        <v>104</v>
      </c>
      <c r="AU92" s="464" t="s">
        <v>269</v>
      </c>
      <c r="AV92" s="460" t="s">
        <v>36</v>
      </c>
      <c r="AW92" s="453" t="s">
        <v>1430</v>
      </c>
      <c r="BA92" s="464" t="str">
        <f>_xlfn.XLOOKUP(B92,'School List from APT'!A:A,'School List from APT'!C:C,"",FALSE)</f>
        <v>Heath Mount Primary School</v>
      </c>
    </row>
    <row r="93" spans="1:53" x14ac:dyDescent="0.25">
      <c r="A93" s="453" t="s">
        <v>271</v>
      </c>
      <c r="B93" s="453">
        <v>2438</v>
      </c>
      <c r="C93" s="453">
        <v>2438</v>
      </c>
      <c r="D93" s="453" t="s">
        <v>272</v>
      </c>
      <c r="F93" s="454" t="s">
        <v>162</v>
      </c>
      <c r="G93" s="454" t="s">
        <v>36</v>
      </c>
      <c r="H93" s="451">
        <v>248514.82407850958</v>
      </c>
      <c r="I93" s="451">
        <v>0</v>
      </c>
      <c r="J93" s="455">
        <v>248514.82407850958</v>
      </c>
      <c r="K93" s="451">
        <v>1038280.4618562288</v>
      </c>
      <c r="L93" s="451">
        <v>211975.125</v>
      </c>
      <c r="M93" s="451">
        <v>0</v>
      </c>
      <c r="N93" s="451">
        <v>1250255.5868562288</v>
      </c>
      <c r="O93" s="451">
        <v>25342.050583333334</v>
      </c>
      <c r="P93" s="451">
        <v>0</v>
      </c>
      <c r="Q93" s="451">
        <v>0</v>
      </c>
      <c r="R93" s="451">
        <v>0</v>
      </c>
      <c r="S93" s="451">
        <v>25342.050583333334</v>
      </c>
      <c r="T93" s="451">
        <v>1275597.637439562</v>
      </c>
      <c r="U93" s="451">
        <v>0</v>
      </c>
      <c r="V93" s="451">
        <v>1524112.4615180716</v>
      </c>
      <c r="W93" s="451">
        <v>1255485.3700000001</v>
      </c>
      <c r="X93" s="451">
        <v>-2931.24</v>
      </c>
      <c r="Y93" s="451"/>
      <c r="Z93" s="451"/>
      <c r="AA93" s="456"/>
      <c r="AB93" s="451">
        <v>1252554.1300000001</v>
      </c>
      <c r="AC93" s="451">
        <v>271558.33151807147</v>
      </c>
      <c r="AD93" s="451">
        <v>347.92075370991341</v>
      </c>
      <c r="AE93" s="457">
        <v>271906.25227178138</v>
      </c>
      <c r="AF93" s="451">
        <v>23391.4281932718</v>
      </c>
      <c r="AG93" s="451">
        <v>248514.82407850958</v>
      </c>
      <c r="AH93" s="451">
        <v>248514.82407850958</v>
      </c>
      <c r="AI93" s="451">
        <v>62512.779342811438</v>
      </c>
      <c r="AJ93" s="451">
        <v>347.92075370991341</v>
      </c>
      <c r="AK93" s="462"/>
      <c r="AL93" s="453" t="s">
        <v>108</v>
      </c>
      <c r="AM93" s="451">
        <v>271906.25227178138</v>
      </c>
      <c r="AN93" s="453" t="s">
        <v>108</v>
      </c>
      <c r="AO93" s="453">
        <v>70</v>
      </c>
      <c r="AP93" s="453">
        <v>30</v>
      </c>
      <c r="AQ93" s="458">
        <v>0.21315989014965883</v>
      </c>
      <c r="AS93" s="459" t="s">
        <v>104</v>
      </c>
      <c r="AT93" s="453" t="s">
        <v>104</v>
      </c>
      <c r="AU93" s="464" t="s">
        <v>271</v>
      </c>
      <c r="AV93" s="460" t="s">
        <v>36</v>
      </c>
      <c r="AW93" s="453" t="s">
        <v>1430</v>
      </c>
      <c r="BA93" s="464" t="str">
        <f>_xlfn.XLOOKUP(B93,'School List from APT'!A:A,'School List from APT'!C:C,"",FALSE)</f>
        <v>Highters Heath Community School</v>
      </c>
    </row>
    <row r="94" spans="1:53" x14ac:dyDescent="0.25">
      <c r="A94" s="453" t="s">
        <v>273</v>
      </c>
      <c r="B94" s="453">
        <v>2429</v>
      </c>
      <c r="C94" s="453">
        <v>2429</v>
      </c>
      <c r="D94" s="453" t="s">
        <v>274</v>
      </c>
      <c r="E94" s="453" t="s">
        <v>83</v>
      </c>
      <c r="F94" s="454" t="s">
        <v>162</v>
      </c>
      <c r="G94" s="454" t="s">
        <v>36</v>
      </c>
      <c r="H94" s="451">
        <v>-45880.094903769437</v>
      </c>
      <c r="I94" s="451">
        <v>0</v>
      </c>
      <c r="J94" s="455">
        <v>-45880.094903769437</v>
      </c>
      <c r="K94" s="451">
        <v>929775.33215774503</v>
      </c>
      <c r="L94" s="451">
        <v>145870.875</v>
      </c>
      <c r="M94" s="451">
        <v>112.1142857142986</v>
      </c>
      <c r="N94" s="451">
        <v>1075758.3214434593</v>
      </c>
      <c r="O94" s="451">
        <v>76809.770027919876</v>
      </c>
      <c r="P94" s="451">
        <v>0</v>
      </c>
      <c r="Q94" s="451">
        <v>0</v>
      </c>
      <c r="R94" s="451">
        <v>0</v>
      </c>
      <c r="S94" s="451">
        <v>76809.770027919876</v>
      </c>
      <c r="T94" s="451">
        <v>1152568.0914713792</v>
      </c>
      <c r="U94" s="451">
        <v>0</v>
      </c>
      <c r="V94" s="451">
        <v>1106687.9965676097</v>
      </c>
      <c r="W94" s="451">
        <v>1171609.93</v>
      </c>
      <c r="X94" s="451">
        <v>0</v>
      </c>
      <c r="Y94" s="451"/>
      <c r="Z94" s="451"/>
      <c r="AA94" s="456"/>
      <c r="AB94" s="451">
        <v>1171609.93</v>
      </c>
      <c r="AC94" s="451">
        <v>-64921.933432390215</v>
      </c>
      <c r="AD94" s="451">
        <v>0</v>
      </c>
      <c r="AE94" s="457">
        <v>-64921.933432390215</v>
      </c>
      <c r="AF94" s="451">
        <v>-19041.838528620778</v>
      </c>
      <c r="AG94" s="451">
        <v>-45880.094903769437</v>
      </c>
      <c r="AH94" s="451">
        <v>0</v>
      </c>
      <c r="AI94" s="451">
        <v>0</v>
      </c>
      <c r="AJ94" s="451">
        <v>0</v>
      </c>
      <c r="AK94" s="462"/>
      <c r="AL94" s="453" t="s">
        <v>103</v>
      </c>
      <c r="AM94" s="451">
        <v>-64921.933432390215</v>
      </c>
      <c r="AN94" s="453" t="s">
        <v>103</v>
      </c>
      <c r="AO94" s="453">
        <v>157</v>
      </c>
      <c r="AP94" s="453">
        <v>158</v>
      </c>
      <c r="AQ94" s="458">
        <v>-5.6328067654129024E-2</v>
      </c>
      <c r="AS94" s="459" t="s">
        <v>104</v>
      </c>
      <c r="AT94" s="453" t="s">
        <v>104</v>
      </c>
      <c r="AU94" s="464" t="s">
        <v>273</v>
      </c>
      <c r="AV94" s="460" t="s">
        <v>36</v>
      </c>
      <c r="AW94" s="453" t="s">
        <v>1430</v>
      </c>
      <c r="BA94" s="464" t="str">
        <f>_xlfn.XLOOKUP(B94,'School List from APT'!A:A,'School List from APT'!C:C,"",FALSE)</f>
        <v>Holland House Infant School and Nursery</v>
      </c>
    </row>
    <row r="95" spans="1:53" x14ac:dyDescent="0.25">
      <c r="A95" s="453" t="s">
        <v>275</v>
      </c>
      <c r="B95" s="453">
        <v>3411</v>
      </c>
      <c r="C95" s="453">
        <v>3411</v>
      </c>
      <c r="D95" s="453" t="s">
        <v>276</v>
      </c>
      <c r="E95" s="453" t="s">
        <v>83</v>
      </c>
      <c r="F95" s="454" t="s">
        <v>162</v>
      </c>
      <c r="G95" s="454" t="s">
        <v>36</v>
      </c>
      <c r="H95" s="451">
        <v>188247.20177826594</v>
      </c>
      <c r="I95" s="451">
        <v>0</v>
      </c>
      <c r="J95" s="455">
        <v>188247.20177826594</v>
      </c>
      <c r="K95" s="451">
        <v>1129953.6413693184</v>
      </c>
      <c r="L95" s="451">
        <v>205671</v>
      </c>
      <c r="M95" s="451">
        <v>-64153.160526315769</v>
      </c>
      <c r="N95" s="451">
        <v>1271471.4808430027</v>
      </c>
      <c r="O95" s="451">
        <v>99140.688641888642</v>
      </c>
      <c r="P95" s="451">
        <v>0</v>
      </c>
      <c r="Q95" s="451">
        <v>0</v>
      </c>
      <c r="R95" s="451">
        <v>0</v>
      </c>
      <c r="S95" s="451">
        <v>99140.688641888642</v>
      </c>
      <c r="T95" s="451">
        <v>1370612.1694848912</v>
      </c>
      <c r="U95" s="451">
        <v>0</v>
      </c>
      <c r="V95" s="451">
        <v>1558859.3712631571</v>
      </c>
      <c r="W95" s="451">
        <v>1445763.6</v>
      </c>
      <c r="X95" s="451">
        <v>0</v>
      </c>
      <c r="Y95" s="451"/>
      <c r="Z95" s="451"/>
      <c r="AA95" s="456"/>
      <c r="AB95" s="451">
        <v>1445763.6</v>
      </c>
      <c r="AC95" s="451">
        <v>113095.77126315702</v>
      </c>
      <c r="AD95" s="451">
        <v>158.33407976841983</v>
      </c>
      <c r="AE95" s="457">
        <v>113254.10534292544</v>
      </c>
      <c r="AF95" s="451">
        <v>-74993.0964353405</v>
      </c>
      <c r="AG95" s="451">
        <v>188247.20177826594</v>
      </c>
      <c r="AH95" s="451">
        <v>113095.77126315702</v>
      </c>
      <c r="AI95" s="451">
        <v>63573.57404215014</v>
      </c>
      <c r="AJ95" s="451">
        <v>158.33407976841983</v>
      </c>
      <c r="AK95" s="462"/>
      <c r="AL95" s="453" t="s">
        <v>108</v>
      </c>
      <c r="AM95" s="451">
        <v>113254.10534292544</v>
      </c>
      <c r="AN95" s="453" t="s">
        <v>108</v>
      </c>
      <c r="AO95" s="453">
        <v>119</v>
      </c>
      <c r="AP95" s="453">
        <v>112</v>
      </c>
      <c r="AQ95" s="458">
        <v>8.2630307729931393E-2</v>
      </c>
      <c r="AS95" s="459" t="s">
        <v>104</v>
      </c>
      <c r="AT95" s="453" t="s">
        <v>104</v>
      </c>
      <c r="AU95" s="464" t="s">
        <v>275</v>
      </c>
      <c r="AV95" s="460" t="s">
        <v>36</v>
      </c>
      <c r="AW95" s="453" t="s">
        <v>1430</v>
      </c>
      <c r="BA95" s="464" t="str">
        <f>_xlfn.XLOOKUP(B95,'School List from APT'!A:A,'School List from APT'!C:C,"",FALSE)</f>
        <v>Holly Hill Methodist CofE Infant School</v>
      </c>
    </row>
    <row r="96" spans="1:53" x14ac:dyDescent="0.25">
      <c r="A96" s="453" t="s">
        <v>277</v>
      </c>
      <c r="B96" s="453">
        <v>2474</v>
      </c>
      <c r="C96" s="453">
        <v>2474</v>
      </c>
      <c r="D96" s="453" t="s">
        <v>278</v>
      </c>
      <c r="F96" s="454" t="s">
        <v>162</v>
      </c>
      <c r="G96" s="454" t="s">
        <v>36</v>
      </c>
      <c r="H96" s="451">
        <v>23235.658427333488</v>
      </c>
      <c r="I96" s="451">
        <v>0</v>
      </c>
      <c r="J96" s="455">
        <v>23235.658427333488</v>
      </c>
      <c r="K96" s="451">
        <v>1870518.0108379689</v>
      </c>
      <c r="L96" s="451">
        <v>283523.125</v>
      </c>
      <c r="M96" s="451">
        <v>0</v>
      </c>
      <c r="N96" s="451">
        <v>2154041.1358379689</v>
      </c>
      <c r="O96" s="451">
        <v>35961</v>
      </c>
      <c r="P96" s="451">
        <v>0</v>
      </c>
      <c r="Q96" s="451">
        <v>0</v>
      </c>
      <c r="R96" s="451">
        <v>0</v>
      </c>
      <c r="S96" s="451">
        <v>35961</v>
      </c>
      <c r="T96" s="451">
        <v>2190002.1358379689</v>
      </c>
      <c r="U96" s="451">
        <v>0</v>
      </c>
      <c r="V96" s="451">
        <v>2213237.7942653024</v>
      </c>
      <c r="W96" s="451">
        <v>2175395.69</v>
      </c>
      <c r="X96" s="451">
        <v>-9910.25</v>
      </c>
      <c r="Y96" s="451"/>
      <c r="Z96" s="451"/>
      <c r="AA96" s="456"/>
      <c r="AB96" s="451">
        <v>2165485.44</v>
      </c>
      <c r="AC96" s="451">
        <v>47752.35426530242</v>
      </c>
      <c r="AD96" s="451">
        <v>32.529921798266884</v>
      </c>
      <c r="AE96" s="457">
        <v>47784.884187100688</v>
      </c>
      <c r="AF96" s="451">
        <v>24549.2257597672</v>
      </c>
      <c r="AG96" s="451">
        <v>23235.658427333488</v>
      </c>
      <c r="AH96" s="451">
        <v>23235.658427333488</v>
      </c>
      <c r="AI96" s="451">
        <v>107702.05679189845</v>
      </c>
      <c r="AJ96" s="451">
        <v>32.529921798266884</v>
      </c>
      <c r="AK96" s="462"/>
      <c r="AL96" s="453" t="s">
        <v>108</v>
      </c>
      <c r="AM96" s="451">
        <v>47784.884187100688</v>
      </c>
      <c r="AN96" s="453" t="s">
        <v>108</v>
      </c>
      <c r="AO96" s="453">
        <v>139</v>
      </c>
      <c r="AP96" s="453">
        <v>141</v>
      </c>
      <c r="AQ96" s="458">
        <v>2.1819560540664303E-2</v>
      </c>
      <c r="AS96" s="459" t="s">
        <v>104</v>
      </c>
      <c r="AT96" s="453" t="s">
        <v>104</v>
      </c>
      <c r="AU96" s="464" t="s">
        <v>277</v>
      </c>
      <c r="AV96" s="460" t="s">
        <v>36</v>
      </c>
      <c r="AW96" s="453" t="s">
        <v>1430</v>
      </c>
      <c r="BA96" s="464" t="str">
        <f>_xlfn.XLOOKUP(B96,'School List from APT'!A:A,'School List from APT'!C:C,"",FALSE)</f>
        <v>Hollyfield Primary School</v>
      </c>
    </row>
    <row r="97" spans="1:53" x14ac:dyDescent="0.25">
      <c r="A97" s="453" t="s">
        <v>279</v>
      </c>
      <c r="B97" s="453">
        <v>2288</v>
      </c>
      <c r="C97" s="453">
        <v>2288</v>
      </c>
      <c r="D97" s="453" t="s">
        <v>280</v>
      </c>
      <c r="F97" s="454" t="s">
        <v>162</v>
      </c>
      <c r="G97" s="454" t="s">
        <v>36</v>
      </c>
      <c r="H97" s="451">
        <v>-217533.50661784271</v>
      </c>
      <c r="I97" s="451">
        <v>0</v>
      </c>
      <c r="J97" s="455">
        <v>-217533.50661784271</v>
      </c>
      <c r="K97" s="451">
        <v>1905892.5848539621</v>
      </c>
      <c r="L97" s="451">
        <v>287358.25</v>
      </c>
      <c r="M97" s="451">
        <v>0</v>
      </c>
      <c r="N97" s="451">
        <v>2193250.8348539621</v>
      </c>
      <c r="O97" s="451">
        <v>195292.46467736829</v>
      </c>
      <c r="P97" s="451">
        <v>19680</v>
      </c>
      <c r="Q97" s="451">
        <v>0</v>
      </c>
      <c r="R97" s="451">
        <v>0</v>
      </c>
      <c r="S97" s="451">
        <v>214972.46467736829</v>
      </c>
      <c r="T97" s="451">
        <v>2408223.2995313304</v>
      </c>
      <c r="U97" s="451">
        <v>0</v>
      </c>
      <c r="V97" s="451">
        <v>2190689.7929134876</v>
      </c>
      <c r="W97" s="451">
        <v>2372072.2400000002</v>
      </c>
      <c r="X97" s="451">
        <v>-94060</v>
      </c>
      <c r="Y97" s="451"/>
      <c r="Z97" s="451"/>
      <c r="AA97" s="456"/>
      <c r="AB97" s="451">
        <v>2278012.2400000002</v>
      </c>
      <c r="AC97" s="451">
        <v>-87322.447086512577</v>
      </c>
      <c r="AD97" s="451">
        <v>0</v>
      </c>
      <c r="AE97" s="457">
        <v>-87322.447086512577</v>
      </c>
      <c r="AF97" s="451">
        <v>130211.05953133013</v>
      </c>
      <c r="AG97" s="451">
        <v>-217533.50661784271</v>
      </c>
      <c r="AH97" s="451">
        <v>0</v>
      </c>
      <c r="AI97" s="451">
        <v>0</v>
      </c>
      <c r="AJ97" s="451">
        <v>0</v>
      </c>
      <c r="AK97" s="462"/>
      <c r="AL97" s="453" t="s">
        <v>103</v>
      </c>
      <c r="AM97" s="451">
        <v>-87322.447086512577</v>
      </c>
      <c r="AN97" s="453" t="s">
        <v>103</v>
      </c>
      <c r="AO97" s="453">
        <v>159</v>
      </c>
      <c r="AP97" s="453">
        <v>155</v>
      </c>
      <c r="AQ97" s="458">
        <v>-3.6260112217794169E-2</v>
      </c>
      <c r="AS97" s="459" t="s">
        <v>104</v>
      </c>
      <c r="AT97" s="453" t="s">
        <v>104</v>
      </c>
      <c r="AU97" s="464" t="s">
        <v>279</v>
      </c>
      <c r="AV97" s="460" t="s">
        <v>36</v>
      </c>
      <c r="AW97" s="453" t="s">
        <v>1430</v>
      </c>
      <c r="BA97" s="464" t="str">
        <f>_xlfn.XLOOKUP(B97,'School List from APT'!A:A,'School List from APT'!C:C,"",FALSE)</f>
        <v>Hollywood Primary School</v>
      </c>
    </row>
    <row r="98" spans="1:53" x14ac:dyDescent="0.25">
      <c r="A98" s="453" t="s">
        <v>281</v>
      </c>
      <c r="B98" s="453">
        <v>3317</v>
      </c>
      <c r="C98" s="453">
        <v>3317</v>
      </c>
      <c r="D98" s="453" t="s">
        <v>282</v>
      </c>
      <c r="E98" s="453" t="s">
        <v>83</v>
      </c>
      <c r="F98" s="454" t="s">
        <v>162</v>
      </c>
      <c r="G98" s="454" t="s">
        <v>36</v>
      </c>
      <c r="H98" s="451">
        <v>236098.03395795406</v>
      </c>
      <c r="I98" s="451">
        <v>0</v>
      </c>
      <c r="J98" s="455">
        <v>236098.03395795406</v>
      </c>
      <c r="K98" s="451">
        <v>1088971.1031948095</v>
      </c>
      <c r="L98" s="451">
        <v>166263</v>
      </c>
      <c r="M98" s="451">
        <v>390.80999999999767</v>
      </c>
      <c r="N98" s="451">
        <v>1255624.9131948096</v>
      </c>
      <c r="O98" s="451">
        <v>23259.166750000004</v>
      </c>
      <c r="P98" s="451">
        <v>0</v>
      </c>
      <c r="Q98" s="451">
        <v>0</v>
      </c>
      <c r="R98" s="451">
        <v>0</v>
      </c>
      <c r="S98" s="451">
        <v>23259.166750000004</v>
      </c>
      <c r="T98" s="451">
        <v>1278884.0799448097</v>
      </c>
      <c r="U98" s="451">
        <v>0</v>
      </c>
      <c r="V98" s="451">
        <v>1514982.1139027637</v>
      </c>
      <c r="W98" s="451">
        <v>1321035.6599999999</v>
      </c>
      <c r="X98" s="451">
        <v>0</v>
      </c>
      <c r="Y98" s="451"/>
      <c r="Z98" s="451"/>
      <c r="AA98" s="456"/>
      <c r="AB98" s="451">
        <v>1321035.6599999999</v>
      </c>
      <c r="AC98" s="451">
        <v>193946.45390276378</v>
      </c>
      <c r="AD98" s="451">
        <v>271.5250354638693</v>
      </c>
      <c r="AE98" s="457">
        <v>194217.97893822764</v>
      </c>
      <c r="AF98" s="451">
        <v>-41880.055019726424</v>
      </c>
      <c r="AG98" s="451">
        <v>236098.03395795406</v>
      </c>
      <c r="AH98" s="451">
        <v>193946.45390276378</v>
      </c>
      <c r="AI98" s="451">
        <v>62781.245659740482</v>
      </c>
      <c r="AJ98" s="451">
        <v>271.5250354638693</v>
      </c>
      <c r="AK98" s="462"/>
      <c r="AL98" s="453" t="s">
        <v>108</v>
      </c>
      <c r="AM98" s="451">
        <v>194217.97893822764</v>
      </c>
      <c r="AN98" s="453" t="s">
        <v>108</v>
      </c>
      <c r="AO98" s="453">
        <v>95</v>
      </c>
      <c r="AP98" s="453">
        <v>61</v>
      </c>
      <c r="AQ98" s="458">
        <v>0.15186519402650561</v>
      </c>
      <c r="AS98" s="459" t="s">
        <v>104</v>
      </c>
      <c r="AT98" s="453" t="s">
        <v>104</v>
      </c>
      <c r="AU98" s="464" t="s">
        <v>281</v>
      </c>
      <c r="AV98" s="460" t="s">
        <v>36</v>
      </c>
      <c r="AW98" s="453" t="s">
        <v>1430</v>
      </c>
      <c r="BA98" s="464" t="str">
        <f>_xlfn.XLOOKUP(B98,'School List from APT'!A:A,'School List from APT'!C:C,"",FALSE)</f>
        <v>Holy Family Catholic Primary School</v>
      </c>
    </row>
    <row r="99" spans="1:53" x14ac:dyDescent="0.25">
      <c r="A99" s="453" t="s">
        <v>283</v>
      </c>
      <c r="B99" s="453">
        <v>2015</v>
      </c>
      <c r="C99" s="453">
        <v>2015</v>
      </c>
      <c r="D99" s="453" t="s">
        <v>284</v>
      </c>
      <c r="E99" s="453" t="s">
        <v>83</v>
      </c>
      <c r="F99" s="454" t="s">
        <v>162</v>
      </c>
      <c r="G99" s="454" t="s">
        <v>107</v>
      </c>
      <c r="H99" s="451">
        <v>758020.48290746985</v>
      </c>
      <c r="I99" s="451">
        <v>-2.9074698686599731E-3</v>
      </c>
      <c r="J99" s="455">
        <v>758020.48</v>
      </c>
      <c r="K99" s="451">
        <v>2287267.961427399</v>
      </c>
      <c r="L99" s="451">
        <v>337398.75</v>
      </c>
      <c r="M99" s="451">
        <v>-52126.973437500012</v>
      </c>
      <c r="N99" s="451">
        <v>2572539.7379898988</v>
      </c>
      <c r="O99" s="451">
        <v>41276.756166666673</v>
      </c>
      <c r="P99" s="451">
        <v>0</v>
      </c>
      <c r="Q99" s="451">
        <v>0</v>
      </c>
      <c r="R99" s="451">
        <v>0</v>
      </c>
      <c r="S99" s="451">
        <v>41276.756166666673</v>
      </c>
      <c r="T99" s="451">
        <v>2613816.4941565655</v>
      </c>
      <c r="U99" s="451">
        <v>0</v>
      </c>
      <c r="V99" s="451">
        <v>3371836.9741565655</v>
      </c>
      <c r="W99" s="451">
        <v>2629387.5</v>
      </c>
      <c r="X99" s="451">
        <v>0</v>
      </c>
      <c r="Y99" s="451"/>
      <c r="Z99" s="451"/>
      <c r="AA99" s="456"/>
      <c r="AB99" s="451">
        <v>2629387.5</v>
      </c>
      <c r="AC99" s="451">
        <v>742449.4741565655</v>
      </c>
      <c r="AD99" s="451">
        <v>0</v>
      </c>
      <c r="AE99" s="457">
        <v>742449.4741565655</v>
      </c>
      <c r="AF99" s="451">
        <v>-15571.005843434483</v>
      </c>
      <c r="AG99" s="451">
        <v>758020.48</v>
      </c>
      <c r="AH99" s="451">
        <v>0</v>
      </c>
      <c r="AI99" s="451">
        <v>0</v>
      </c>
      <c r="AJ99" s="451">
        <v>0</v>
      </c>
      <c r="AK99" s="462"/>
      <c r="AL99" s="453" t="s">
        <v>108</v>
      </c>
      <c r="AM99" s="451">
        <v>742449.4741565655</v>
      </c>
      <c r="AN99" s="453" t="s">
        <v>108</v>
      </c>
      <c r="AO99" s="453">
        <v>9</v>
      </c>
      <c r="AP99" s="453">
        <v>14</v>
      </c>
      <c r="AQ99" s="458">
        <v>0.28404804844425063</v>
      </c>
      <c r="AS99" s="459" t="s">
        <v>104</v>
      </c>
      <c r="AT99" s="453" t="s">
        <v>109</v>
      </c>
      <c r="AU99" s="464" t="s">
        <v>283</v>
      </c>
      <c r="AV99" s="460" t="s">
        <v>36</v>
      </c>
      <c r="AW99" s="453" t="s">
        <v>1431</v>
      </c>
      <c r="BA99" s="464" t="str">
        <f>_xlfn.XLOOKUP(B99,'School List from APT'!A:A,'School List from APT'!C:C,"",FALSE)</f>
        <v>James Watt Primary School</v>
      </c>
    </row>
    <row r="100" spans="1:53" x14ac:dyDescent="0.25">
      <c r="A100" s="453" t="s">
        <v>285</v>
      </c>
      <c r="B100" s="453">
        <v>3352</v>
      </c>
      <c r="C100" s="453">
        <v>3352</v>
      </c>
      <c r="D100" s="453" t="s">
        <v>286</v>
      </c>
      <c r="E100" s="453" t="s">
        <v>83</v>
      </c>
      <c r="F100" s="454" t="s">
        <v>162</v>
      </c>
      <c r="G100" s="454" t="s">
        <v>36</v>
      </c>
      <c r="H100" s="451">
        <v>-904.09586669784039</v>
      </c>
      <c r="I100" s="451">
        <v>0</v>
      </c>
      <c r="J100" s="455">
        <v>-904.09586669784039</v>
      </c>
      <c r="K100" s="451">
        <v>1075806.4577214955</v>
      </c>
      <c r="L100" s="451">
        <v>148448.25</v>
      </c>
      <c r="M100" s="451">
        <v>-5785.2299999999959</v>
      </c>
      <c r="N100" s="451">
        <v>1218469.4777214956</v>
      </c>
      <c r="O100" s="451">
        <v>13012.799523113088</v>
      </c>
      <c r="P100" s="451">
        <v>0</v>
      </c>
      <c r="Q100" s="451">
        <v>0</v>
      </c>
      <c r="R100" s="451">
        <v>0</v>
      </c>
      <c r="S100" s="451">
        <v>13012.799523113088</v>
      </c>
      <c r="T100" s="451">
        <v>1231482.2772446086</v>
      </c>
      <c r="U100" s="451">
        <v>0</v>
      </c>
      <c r="V100" s="451">
        <v>1230578.1813779108</v>
      </c>
      <c r="W100" s="451">
        <v>1215873.8</v>
      </c>
      <c r="X100" s="451">
        <v>0</v>
      </c>
      <c r="Y100" s="451"/>
      <c r="Z100" s="451"/>
      <c r="AA100" s="456"/>
      <c r="AB100" s="451">
        <v>1215873.8</v>
      </c>
      <c r="AC100" s="451">
        <v>14704.381377910729</v>
      </c>
      <c r="AD100" s="451">
        <v>0</v>
      </c>
      <c r="AE100" s="457">
        <v>14704.381377910729</v>
      </c>
      <c r="AF100" s="451">
        <v>15608.47724460857</v>
      </c>
      <c r="AG100" s="451">
        <v>-904.09586669784039</v>
      </c>
      <c r="AH100" s="451">
        <v>0</v>
      </c>
      <c r="AI100" s="451">
        <v>0</v>
      </c>
      <c r="AJ100" s="451">
        <v>0</v>
      </c>
      <c r="AK100" s="462"/>
      <c r="AL100" s="453" t="s">
        <v>108</v>
      </c>
      <c r="AM100" s="451">
        <v>14704.381377910729</v>
      </c>
      <c r="AN100" s="453" t="s">
        <v>108</v>
      </c>
      <c r="AO100" s="453">
        <v>143</v>
      </c>
      <c r="AP100" s="453">
        <v>146</v>
      </c>
      <c r="AQ100" s="458">
        <v>1.1940392200211912E-2</v>
      </c>
      <c r="AS100" s="459" t="s">
        <v>104</v>
      </c>
      <c r="AT100" s="453" t="s">
        <v>104</v>
      </c>
      <c r="AU100" s="464" t="s">
        <v>285</v>
      </c>
      <c r="AV100" s="460" t="s">
        <v>36</v>
      </c>
      <c r="AW100" s="453" t="s">
        <v>1430</v>
      </c>
      <c r="BA100" s="464" t="str">
        <f>_xlfn.XLOOKUP(B100,'School List from APT'!A:A,'School List from APT'!C:C,"",FALSE)</f>
        <v>King David Junior and Infant School</v>
      </c>
    </row>
    <row r="101" spans="1:53" x14ac:dyDescent="0.25">
      <c r="A101" s="453" t="s">
        <v>287</v>
      </c>
      <c r="B101" s="453">
        <v>2005</v>
      </c>
      <c r="C101" s="453">
        <v>2005</v>
      </c>
      <c r="D101" s="453" t="s">
        <v>288</v>
      </c>
      <c r="E101" s="453" t="s">
        <v>83</v>
      </c>
      <c r="F101" s="454" t="s">
        <v>162</v>
      </c>
      <c r="G101" s="454" t="s">
        <v>36</v>
      </c>
      <c r="H101" s="451">
        <v>-4253.7807066263631</v>
      </c>
      <c r="I101" s="451">
        <v>0</v>
      </c>
      <c r="J101" s="455">
        <v>-4253.7807066263631</v>
      </c>
      <c r="K101" s="451">
        <v>2908953.634210526</v>
      </c>
      <c r="L101" s="451">
        <v>338870.9375</v>
      </c>
      <c r="M101" s="451">
        <v>-46067.755263157887</v>
      </c>
      <c r="N101" s="451">
        <v>3201756.8164473679</v>
      </c>
      <c r="O101" s="451">
        <v>131905.55124999999</v>
      </c>
      <c r="P101" s="451">
        <v>14056.88</v>
      </c>
      <c r="Q101" s="451">
        <v>0</v>
      </c>
      <c r="R101" s="451">
        <v>0</v>
      </c>
      <c r="S101" s="451">
        <v>145962.43124999999</v>
      </c>
      <c r="T101" s="451">
        <v>3347719.2476973678</v>
      </c>
      <c r="U101" s="451">
        <v>0</v>
      </c>
      <c r="V101" s="451">
        <v>3343465.4669907414</v>
      </c>
      <c r="W101" s="451">
        <v>3570252.44</v>
      </c>
      <c r="X101" s="451">
        <v>-8629.4699999999993</v>
      </c>
      <c r="Y101" s="451"/>
      <c r="Z101" s="451"/>
      <c r="AA101" s="456"/>
      <c r="AB101" s="451">
        <v>3561622.9699999997</v>
      </c>
      <c r="AC101" s="451">
        <v>-218157.5030092583</v>
      </c>
      <c r="AD101" s="451">
        <v>0</v>
      </c>
      <c r="AE101" s="457">
        <v>-218157.5030092583</v>
      </c>
      <c r="AF101" s="451">
        <v>-213903.72230263194</v>
      </c>
      <c r="AG101" s="451">
        <v>-4253.7807066263631</v>
      </c>
      <c r="AH101" s="451">
        <v>0</v>
      </c>
      <c r="AI101" s="451">
        <v>0</v>
      </c>
      <c r="AJ101" s="451">
        <v>0</v>
      </c>
      <c r="AK101" s="462"/>
      <c r="AL101" s="453" t="s">
        <v>103</v>
      </c>
      <c r="AM101" s="451">
        <v>-218157.5030092583</v>
      </c>
      <c r="AN101" s="453" t="s">
        <v>103</v>
      </c>
      <c r="AO101" s="453">
        <v>167</v>
      </c>
      <c r="AP101" s="453">
        <v>161</v>
      </c>
      <c r="AQ101" s="458">
        <v>-6.5166009114806051E-2</v>
      </c>
      <c r="AS101" s="459" t="s">
        <v>104</v>
      </c>
      <c r="AT101" s="453" t="s">
        <v>104</v>
      </c>
      <c r="AU101" s="464" t="s">
        <v>287</v>
      </c>
      <c r="AV101" s="460" t="s">
        <v>36</v>
      </c>
      <c r="AW101" s="453" t="s">
        <v>1430</v>
      </c>
      <c r="BA101" s="464" t="str">
        <f>_xlfn.XLOOKUP(B101,'School List from APT'!A:A,'School List from APT'!C:C,"",FALSE)</f>
        <v>Kings Heath Primary School</v>
      </c>
    </row>
    <row r="102" spans="1:53" x14ac:dyDescent="0.25">
      <c r="A102" s="453" t="s">
        <v>289</v>
      </c>
      <c r="B102" s="453">
        <v>2118</v>
      </c>
      <c r="C102" s="453">
        <v>2118</v>
      </c>
      <c r="D102" s="453" t="s">
        <v>290</v>
      </c>
      <c r="F102" s="454" t="s">
        <v>162</v>
      </c>
      <c r="G102" s="454" t="s">
        <v>36</v>
      </c>
      <c r="H102" s="451">
        <v>132433.30823140949</v>
      </c>
      <c r="I102" s="451">
        <v>0</v>
      </c>
      <c r="J102" s="455">
        <v>132433.30823140949</v>
      </c>
      <c r="K102" s="451">
        <v>1836060.5328467458</v>
      </c>
      <c r="L102" s="451">
        <v>262363.5</v>
      </c>
      <c r="M102" s="451">
        <v>0</v>
      </c>
      <c r="N102" s="451">
        <v>2098424.032846746</v>
      </c>
      <c r="O102" s="451">
        <v>49546.766833333328</v>
      </c>
      <c r="P102" s="451">
        <v>0</v>
      </c>
      <c r="Q102" s="451">
        <v>0</v>
      </c>
      <c r="R102" s="451">
        <v>0</v>
      </c>
      <c r="S102" s="451">
        <v>49546.766833333328</v>
      </c>
      <c r="T102" s="451">
        <v>2147970.7996800793</v>
      </c>
      <c r="U102" s="451">
        <v>0</v>
      </c>
      <c r="V102" s="451">
        <v>2280404.107911489</v>
      </c>
      <c r="W102" s="451">
        <v>2155362.4700000002</v>
      </c>
      <c r="X102" s="451">
        <v>0</v>
      </c>
      <c r="Y102" s="451"/>
      <c r="Z102" s="451"/>
      <c r="AA102" s="456"/>
      <c r="AB102" s="451">
        <v>2155362.4700000002</v>
      </c>
      <c r="AC102" s="451">
        <v>125041.63791148877</v>
      </c>
      <c r="AD102" s="451">
        <v>175.05829307608428</v>
      </c>
      <c r="AE102" s="457">
        <v>125216.69620456485</v>
      </c>
      <c r="AF102" s="451">
        <v>-7216.6120268446393</v>
      </c>
      <c r="AG102" s="451">
        <v>132433.30823140949</v>
      </c>
      <c r="AH102" s="451">
        <v>125041.63791148877</v>
      </c>
      <c r="AI102" s="451">
        <v>104921.20164233731</v>
      </c>
      <c r="AJ102" s="451">
        <v>175.05829307608428</v>
      </c>
      <c r="AK102" s="462"/>
      <c r="AL102" s="453" t="s">
        <v>108</v>
      </c>
      <c r="AM102" s="451">
        <v>125216.69620456485</v>
      </c>
      <c r="AN102" s="453" t="s">
        <v>108</v>
      </c>
      <c r="AO102" s="453">
        <v>112</v>
      </c>
      <c r="AP102" s="453">
        <v>129</v>
      </c>
      <c r="AQ102" s="458">
        <v>5.8295343783637439E-2</v>
      </c>
      <c r="AS102" s="459" t="s">
        <v>104</v>
      </c>
      <c r="AT102" s="453" t="s">
        <v>104</v>
      </c>
      <c r="AU102" s="464" t="s">
        <v>289</v>
      </c>
      <c r="AV102" s="460" t="s">
        <v>36</v>
      </c>
      <c r="AW102" s="453" t="s">
        <v>1430</v>
      </c>
      <c r="BA102" s="464" t="str">
        <f>_xlfn.XLOOKUP(B102,'School List from APT'!A:A,'School List from APT'!C:C,"",FALSE)</f>
        <v>Kings Norton Junior and Infant School</v>
      </c>
    </row>
    <row r="103" spans="1:53" x14ac:dyDescent="0.25">
      <c r="A103" s="453" t="s">
        <v>291</v>
      </c>
      <c r="B103" s="453">
        <v>2115</v>
      </c>
      <c r="C103" s="453">
        <v>2115</v>
      </c>
      <c r="D103" s="453" t="s">
        <v>292</v>
      </c>
      <c r="E103" s="453" t="s">
        <v>83</v>
      </c>
      <c r="F103" s="454" t="s">
        <v>162</v>
      </c>
      <c r="G103" s="454" t="s">
        <v>36</v>
      </c>
      <c r="H103" s="451">
        <v>268154.16117156344</v>
      </c>
      <c r="I103" s="451">
        <v>0</v>
      </c>
      <c r="J103" s="455">
        <v>268154.16117156344</v>
      </c>
      <c r="K103" s="451">
        <v>1732016.7203834725</v>
      </c>
      <c r="L103" s="451">
        <v>330925.625</v>
      </c>
      <c r="M103" s="451">
        <v>-11014.149999999994</v>
      </c>
      <c r="N103" s="451">
        <v>2051928.1953834726</v>
      </c>
      <c r="O103" s="451">
        <v>48923.233333333337</v>
      </c>
      <c r="P103" s="451">
        <v>0</v>
      </c>
      <c r="Q103" s="451">
        <v>0</v>
      </c>
      <c r="R103" s="451">
        <v>0</v>
      </c>
      <c r="S103" s="451">
        <v>48923.233333333337</v>
      </c>
      <c r="T103" s="451">
        <v>2100851.4287168058</v>
      </c>
      <c r="U103" s="451">
        <v>0</v>
      </c>
      <c r="V103" s="451">
        <v>2369005.5898883692</v>
      </c>
      <c r="W103" s="451">
        <v>1920754.88</v>
      </c>
      <c r="X103" s="451">
        <v>0</v>
      </c>
      <c r="Y103" s="451"/>
      <c r="Z103" s="451"/>
      <c r="AA103" s="456"/>
      <c r="AB103" s="451">
        <v>1920754.88</v>
      </c>
      <c r="AC103" s="451">
        <v>448250.70988836931</v>
      </c>
      <c r="AD103" s="451">
        <v>375.41582564018881</v>
      </c>
      <c r="AE103" s="457">
        <v>448626.12571400951</v>
      </c>
      <c r="AF103" s="451">
        <v>180471.96454244608</v>
      </c>
      <c r="AG103" s="451">
        <v>268154.16117156344</v>
      </c>
      <c r="AH103" s="451">
        <v>268154.16117156344</v>
      </c>
      <c r="AI103" s="451">
        <v>102596.40976917364</v>
      </c>
      <c r="AJ103" s="451">
        <v>375.41582564018881</v>
      </c>
      <c r="AK103" s="462"/>
      <c r="AL103" s="453" t="s">
        <v>108</v>
      </c>
      <c r="AM103" s="451">
        <v>448626.12571400951</v>
      </c>
      <c r="AN103" s="453" t="s">
        <v>108</v>
      </c>
      <c r="AO103" s="453">
        <v>33</v>
      </c>
      <c r="AP103" s="453">
        <v>29</v>
      </c>
      <c r="AQ103" s="458">
        <v>0.21354490830797546</v>
      </c>
      <c r="AS103" s="459" t="s">
        <v>104</v>
      </c>
      <c r="AT103" s="453" t="s">
        <v>104</v>
      </c>
      <c r="AU103" s="464" t="s">
        <v>291</v>
      </c>
      <c r="AV103" s="460" t="s">
        <v>36</v>
      </c>
      <c r="AW103" s="453" t="s">
        <v>1430</v>
      </c>
      <c r="BA103" s="464" t="str">
        <f>_xlfn.XLOOKUP(B103,'School List from APT'!A:A,'School List from APT'!C:C,"",FALSE)</f>
        <v>Kingsland Primary School (NC)</v>
      </c>
    </row>
    <row r="104" spans="1:53" x14ac:dyDescent="0.25">
      <c r="A104" s="453" t="s">
        <v>293</v>
      </c>
      <c r="B104" s="453">
        <v>2441</v>
      </c>
      <c r="C104" s="453">
        <v>2441</v>
      </c>
      <c r="D104" s="453" t="s">
        <v>294</v>
      </c>
      <c r="E104" s="453" t="s">
        <v>83</v>
      </c>
      <c r="F104" s="454" t="s">
        <v>162</v>
      </c>
      <c r="G104" s="454" t="s">
        <v>36</v>
      </c>
      <c r="H104" s="451">
        <v>483355.44531746575</v>
      </c>
      <c r="I104" s="451">
        <v>0</v>
      </c>
      <c r="J104" s="455">
        <v>483355.44531746575</v>
      </c>
      <c r="K104" s="451">
        <v>1972885.9957615428</v>
      </c>
      <c r="L104" s="451">
        <v>390890.125</v>
      </c>
      <c r="M104" s="451">
        <v>3332.8500000000204</v>
      </c>
      <c r="N104" s="451">
        <v>2367108.9707615427</v>
      </c>
      <c r="O104" s="451">
        <v>24700.83083333333</v>
      </c>
      <c r="P104" s="451">
        <v>0</v>
      </c>
      <c r="Q104" s="451">
        <v>0</v>
      </c>
      <c r="R104" s="451">
        <v>0</v>
      </c>
      <c r="S104" s="451">
        <v>24700.83083333333</v>
      </c>
      <c r="T104" s="451">
        <v>2391809.8015948762</v>
      </c>
      <c r="U104" s="451">
        <v>0</v>
      </c>
      <c r="V104" s="451">
        <v>2875165.246912342</v>
      </c>
      <c r="W104" s="451">
        <v>2286732.52</v>
      </c>
      <c r="X104" s="451">
        <v>-22521.82</v>
      </c>
      <c r="Y104" s="451"/>
      <c r="Z104" s="451"/>
      <c r="AA104" s="456"/>
      <c r="AB104" s="451">
        <v>2264210.7000000002</v>
      </c>
      <c r="AC104" s="451">
        <v>610954.54691234184</v>
      </c>
      <c r="AD104" s="451">
        <v>676.69762344445212</v>
      </c>
      <c r="AE104" s="457">
        <v>611631.24453578633</v>
      </c>
      <c r="AF104" s="451">
        <v>128275.79921832058</v>
      </c>
      <c r="AG104" s="451">
        <v>483355.44531746575</v>
      </c>
      <c r="AH104" s="451">
        <v>483355.44531746575</v>
      </c>
      <c r="AI104" s="451">
        <v>118355.44853807714</v>
      </c>
      <c r="AJ104" s="451">
        <v>676.69762344445212</v>
      </c>
      <c r="AK104" s="462"/>
      <c r="AL104" s="453" t="s">
        <v>108</v>
      </c>
      <c r="AM104" s="451">
        <v>611631.24453578633</v>
      </c>
      <c r="AN104" s="453" t="s">
        <v>108</v>
      </c>
      <c r="AO104" s="453">
        <v>15</v>
      </c>
      <c r="AP104" s="453">
        <v>16</v>
      </c>
      <c r="AQ104" s="458">
        <v>0.255719014165736</v>
      </c>
      <c r="AS104" s="459" t="s">
        <v>104</v>
      </c>
      <c r="AT104" s="453" t="s">
        <v>104</v>
      </c>
      <c r="AU104" s="464" t="s">
        <v>293</v>
      </c>
      <c r="AV104" s="460" t="s">
        <v>36</v>
      </c>
      <c r="AW104" s="453" t="s">
        <v>1430</v>
      </c>
      <c r="BA104" s="464" t="str">
        <f>_xlfn.XLOOKUP(B104,'School List from APT'!A:A,'School List from APT'!C:C,"",FALSE)</f>
        <v>Kingsthorne Primary School</v>
      </c>
    </row>
    <row r="105" spans="1:53" x14ac:dyDescent="0.25">
      <c r="A105" s="453" t="s">
        <v>295</v>
      </c>
      <c r="B105" s="453">
        <v>2321</v>
      </c>
      <c r="C105" s="453">
        <v>2321</v>
      </c>
      <c r="D105" s="453" t="s">
        <v>296</v>
      </c>
      <c r="E105" s="453" t="s">
        <v>83</v>
      </c>
      <c r="F105" s="454" t="s">
        <v>162</v>
      </c>
      <c r="G105" s="454" t="s">
        <v>36</v>
      </c>
      <c r="H105" s="451">
        <v>78585.723845549001</v>
      </c>
      <c r="I105" s="451">
        <v>0</v>
      </c>
      <c r="J105" s="455">
        <v>78585.723845549001</v>
      </c>
      <c r="K105" s="451">
        <v>1106198.6951673795</v>
      </c>
      <c r="L105" s="451">
        <v>201979.5</v>
      </c>
      <c r="M105" s="451">
        <v>-41765.558823529413</v>
      </c>
      <c r="N105" s="451">
        <v>1266412.6363438501</v>
      </c>
      <c r="O105" s="451">
        <v>63801.253333333334</v>
      </c>
      <c r="P105" s="451">
        <v>0</v>
      </c>
      <c r="Q105" s="451">
        <v>0</v>
      </c>
      <c r="R105" s="451">
        <v>0</v>
      </c>
      <c r="S105" s="451">
        <v>63801.253333333334</v>
      </c>
      <c r="T105" s="451">
        <v>1330213.8896771835</v>
      </c>
      <c r="U105" s="451">
        <v>0</v>
      </c>
      <c r="V105" s="451">
        <v>1408799.6135227324</v>
      </c>
      <c r="W105" s="451">
        <v>1265546.31</v>
      </c>
      <c r="X105" s="451">
        <v>0</v>
      </c>
      <c r="Y105" s="451"/>
      <c r="Z105" s="451"/>
      <c r="AA105" s="456"/>
      <c r="AB105" s="451">
        <v>1265546.31</v>
      </c>
      <c r="AC105" s="451">
        <v>143253.30352273234</v>
      </c>
      <c r="AD105" s="451">
        <v>110.0200133837686</v>
      </c>
      <c r="AE105" s="457">
        <v>143363.32353611611</v>
      </c>
      <c r="AF105" s="451">
        <v>64777.599690567105</v>
      </c>
      <c r="AG105" s="451">
        <v>78585.723845549001</v>
      </c>
      <c r="AH105" s="451">
        <v>78585.723845549001</v>
      </c>
      <c r="AI105" s="451">
        <v>63320.631817192509</v>
      </c>
      <c r="AJ105" s="451">
        <v>110.0200133837686</v>
      </c>
      <c r="AK105" s="462"/>
      <c r="AL105" s="453" t="s">
        <v>108</v>
      </c>
      <c r="AM105" s="451">
        <v>143363.32353611611</v>
      </c>
      <c r="AN105" s="453" t="s">
        <v>108</v>
      </c>
      <c r="AO105" s="453">
        <v>104</v>
      </c>
      <c r="AP105" s="453">
        <v>93</v>
      </c>
      <c r="AQ105" s="458">
        <v>0.10777464034066547</v>
      </c>
      <c r="AS105" s="459" t="s">
        <v>104</v>
      </c>
      <c r="AT105" s="453" t="s">
        <v>104</v>
      </c>
      <c r="AU105" s="464" t="s">
        <v>295</v>
      </c>
      <c r="AV105" s="460" t="s">
        <v>36</v>
      </c>
      <c r="AW105" s="453" t="s">
        <v>1430</v>
      </c>
      <c r="BA105" s="464" t="str">
        <f>_xlfn.XLOOKUP(B105,'School List from APT'!A:A,'School List from APT'!C:C,"",FALSE)</f>
        <v>Kitwell Primary School</v>
      </c>
    </row>
    <row r="106" spans="1:53" x14ac:dyDescent="0.25">
      <c r="A106" s="453" t="s">
        <v>297</v>
      </c>
      <c r="B106" s="453">
        <v>2189</v>
      </c>
      <c r="C106" s="453">
        <v>2189</v>
      </c>
      <c r="D106" s="453" t="s">
        <v>298</v>
      </c>
      <c r="E106" s="453" t="s">
        <v>83</v>
      </c>
      <c r="F106" s="454" t="s">
        <v>162</v>
      </c>
      <c r="G106" s="454" t="s">
        <v>36</v>
      </c>
      <c r="H106" s="451">
        <v>315568.7657921128</v>
      </c>
      <c r="I106" s="451">
        <v>0</v>
      </c>
      <c r="J106" s="455">
        <v>315568.7657921128</v>
      </c>
      <c r="K106" s="451">
        <v>1793516.5450148154</v>
      </c>
      <c r="L106" s="451">
        <v>288363.125</v>
      </c>
      <c r="M106" s="451">
        <v>-6575.0100000000093</v>
      </c>
      <c r="N106" s="451">
        <v>2075304.6600148154</v>
      </c>
      <c r="O106" s="451">
        <v>34133.391000000003</v>
      </c>
      <c r="P106" s="451">
        <v>0</v>
      </c>
      <c r="Q106" s="451">
        <v>0</v>
      </c>
      <c r="R106" s="451">
        <v>0</v>
      </c>
      <c r="S106" s="451">
        <v>34133.391000000003</v>
      </c>
      <c r="T106" s="451">
        <v>2109438.0510148155</v>
      </c>
      <c r="U106" s="451">
        <v>0</v>
      </c>
      <c r="V106" s="451">
        <v>2425006.8168069283</v>
      </c>
      <c r="W106" s="451">
        <v>2335599.85</v>
      </c>
      <c r="X106" s="451">
        <v>0</v>
      </c>
      <c r="Y106" s="451"/>
      <c r="Z106" s="451"/>
      <c r="AA106" s="456"/>
      <c r="AB106" s="451">
        <v>2335599.85</v>
      </c>
      <c r="AC106" s="451">
        <v>89406.966806928162</v>
      </c>
      <c r="AD106" s="451">
        <v>125.16975352969942</v>
      </c>
      <c r="AE106" s="457">
        <v>89532.13656045786</v>
      </c>
      <c r="AF106" s="451">
        <v>-226036.62923165492</v>
      </c>
      <c r="AG106" s="451">
        <v>315568.7657921128</v>
      </c>
      <c r="AH106" s="451">
        <v>89406.966806928162</v>
      </c>
      <c r="AI106" s="451">
        <v>103765.23300074077</v>
      </c>
      <c r="AJ106" s="451">
        <v>125.16975352969942</v>
      </c>
      <c r="AK106" s="462"/>
      <c r="AL106" s="453" t="s">
        <v>108</v>
      </c>
      <c r="AM106" s="451">
        <v>89532.13656045786</v>
      </c>
      <c r="AN106" s="453" t="s">
        <v>108</v>
      </c>
      <c r="AO106" s="453">
        <v>127</v>
      </c>
      <c r="AP106" s="453">
        <v>136</v>
      </c>
      <c r="AQ106" s="458">
        <v>4.2443596064546882E-2</v>
      </c>
      <c r="AS106" s="459" t="s">
        <v>104</v>
      </c>
      <c r="AT106" s="453" t="s">
        <v>104</v>
      </c>
      <c r="AU106" s="464" t="s">
        <v>297</v>
      </c>
      <c r="AV106" s="460" t="s">
        <v>36</v>
      </c>
      <c r="AW106" s="453" t="s">
        <v>1430</v>
      </c>
      <c r="BA106" s="464" t="str">
        <f>_xlfn.XLOOKUP(B106,'School List from APT'!A:A,'School List from APT'!C:C,"",FALSE)</f>
        <v>Ladypool Primary School</v>
      </c>
    </row>
    <row r="107" spans="1:53" x14ac:dyDescent="0.25">
      <c r="A107" s="453" t="s">
        <v>299</v>
      </c>
      <c r="B107" s="453">
        <v>2119</v>
      </c>
      <c r="C107" s="453">
        <v>2119</v>
      </c>
      <c r="D107" s="453" t="s">
        <v>300</v>
      </c>
      <c r="E107" s="453" t="s">
        <v>83</v>
      </c>
      <c r="F107" s="454" t="s">
        <v>162</v>
      </c>
      <c r="G107" s="454" t="s">
        <v>36</v>
      </c>
      <c r="H107" s="451">
        <v>71215.626390306279</v>
      </c>
      <c r="I107" s="451">
        <v>0</v>
      </c>
      <c r="J107" s="455">
        <v>71215.626390306279</v>
      </c>
      <c r="K107" s="451">
        <v>2001202.6759218522</v>
      </c>
      <c r="L107" s="451">
        <v>307109.875</v>
      </c>
      <c r="M107" s="451">
        <v>-8492.7891891891923</v>
      </c>
      <c r="N107" s="451">
        <v>2299819.761732663</v>
      </c>
      <c r="O107" s="451">
        <v>60288.166666666672</v>
      </c>
      <c r="P107" s="451">
        <v>0</v>
      </c>
      <c r="Q107" s="451">
        <v>0</v>
      </c>
      <c r="R107" s="451">
        <v>0</v>
      </c>
      <c r="S107" s="451">
        <v>60288.166666666672</v>
      </c>
      <c r="T107" s="451">
        <v>2360107.9283993295</v>
      </c>
      <c r="U107" s="451">
        <v>0</v>
      </c>
      <c r="V107" s="451">
        <v>2431323.5547896358</v>
      </c>
      <c r="W107" s="451">
        <v>2436675.75</v>
      </c>
      <c r="X107" s="451">
        <v>-998.94</v>
      </c>
      <c r="Y107" s="451"/>
      <c r="Z107" s="451"/>
      <c r="AA107" s="456"/>
      <c r="AB107" s="451">
        <v>2435676.81</v>
      </c>
      <c r="AC107" s="451">
        <v>-4353.2552103642374</v>
      </c>
      <c r="AD107" s="451">
        <v>0</v>
      </c>
      <c r="AE107" s="457">
        <v>-4353.2552103642374</v>
      </c>
      <c r="AF107" s="451">
        <v>-75568.881600670516</v>
      </c>
      <c r="AG107" s="451">
        <v>71215.626390306279</v>
      </c>
      <c r="AH107" s="451">
        <v>0</v>
      </c>
      <c r="AI107" s="451">
        <v>0</v>
      </c>
      <c r="AJ107" s="451">
        <v>0</v>
      </c>
      <c r="AK107" s="462"/>
      <c r="AL107" s="453" t="s">
        <v>103</v>
      </c>
      <c r="AM107" s="451">
        <v>-4353.2552103642374</v>
      </c>
      <c r="AN107" s="453" t="s">
        <v>103</v>
      </c>
      <c r="AO107" s="453">
        <v>153</v>
      </c>
      <c r="AP107" s="453">
        <v>152</v>
      </c>
      <c r="AQ107" s="458">
        <v>-1.8445153113470954E-3</v>
      </c>
      <c r="AS107" s="459" t="s">
        <v>104</v>
      </c>
      <c r="AT107" s="453" t="s">
        <v>104</v>
      </c>
      <c r="AU107" s="464" t="s">
        <v>299</v>
      </c>
      <c r="AV107" s="460" t="s">
        <v>36</v>
      </c>
      <c r="AW107" s="453" t="s">
        <v>1430</v>
      </c>
      <c r="BA107" s="464" t="str">
        <f>_xlfn.XLOOKUP(B107,'School List from APT'!A:A,'School List from APT'!C:C,"",FALSE)</f>
        <v>Lakey Lane Junior and Infant School</v>
      </c>
    </row>
    <row r="108" spans="1:53" x14ac:dyDescent="0.25">
      <c r="A108" s="453" t="s">
        <v>301</v>
      </c>
      <c r="B108" s="453">
        <v>2462</v>
      </c>
      <c r="C108" s="453">
        <v>2462</v>
      </c>
      <c r="D108" s="453" t="s">
        <v>302</v>
      </c>
      <c r="F108" s="454" t="s">
        <v>162</v>
      </c>
      <c r="G108" s="454" t="s">
        <v>107</v>
      </c>
      <c r="H108" s="451">
        <v>722542.72628935589</v>
      </c>
      <c r="I108" s="451">
        <v>3.7106440868228674E-3</v>
      </c>
      <c r="J108" s="455">
        <v>722542.73</v>
      </c>
      <c r="K108" s="451">
        <v>1793361.04</v>
      </c>
      <c r="L108" s="451">
        <v>146539</v>
      </c>
      <c r="M108" s="451">
        <v>0</v>
      </c>
      <c r="N108" s="451">
        <v>1939900.04</v>
      </c>
      <c r="O108" s="451">
        <v>13090.944583333334</v>
      </c>
      <c r="P108" s="451">
        <v>0</v>
      </c>
      <c r="Q108" s="451">
        <v>0</v>
      </c>
      <c r="R108" s="451">
        <v>0</v>
      </c>
      <c r="S108" s="451">
        <v>13090.944583333334</v>
      </c>
      <c r="T108" s="451">
        <v>1952990.9845833334</v>
      </c>
      <c r="U108" s="451">
        <v>0</v>
      </c>
      <c r="V108" s="451">
        <v>2675533.7145833336</v>
      </c>
      <c r="W108" s="451">
        <v>1890901.52</v>
      </c>
      <c r="X108" s="451">
        <v>0</v>
      </c>
      <c r="Y108" s="451"/>
      <c r="Z108" s="451"/>
      <c r="AA108" s="456"/>
      <c r="AB108" s="451">
        <v>1890901.52</v>
      </c>
      <c r="AC108" s="451">
        <v>784632.19458333356</v>
      </c>
      <c r="AD108" s="451">
        <v>0</v>
      </c>
      <c r="AE108" s="457">
        <v>784632.19458333356</v>
      </c>
      <c r="AF108" s="451">
        <v>62089.464583333582</v>
      </c>
      <c r="AG108" s="451">
        <v>722542.73</v>
      </c>
      <c r="AH108" s="451">
        <v>0</v>
      </c>
      <c r="AI108" s="451">
        <v>0</v>
      </c>
      <c r="AJ108" s="451">
        <v>0</v>
      </c>
      <c r="AK108" s="462"/>
      <c r="AL108" s="453" t="s">
        <v>108</v>
      </c>
      <c r="AM108" s="451">
        <v>784632.19458333356</v>
      </c>
      <c r="AN108" s="453" t="s">
        <v>108</v>
      </c>
      <c r="AO108" s="453">
        <v>7</v>
      </c>
      <c r="AP108" s="453">
        <v>7</v>
      </c>
      <c r="AQ108" s="458">
        <v>0.40175925069655821</v>
      </c>
      <c r="AS108" s="459" t="s">
        <v>104</v>
      </c>
      <c r="AT108" s="453" t="s">
        <v>109</v>
      </c>
      <c r="AU108" s="464" t="s">
        <v>301</v>
      </c>
      <c r="AV108" s="460" t="s">
        <v>36</v>
      </c>
      <c r="AW108" s="453" t="s">
        <v>1431</v>
      </c>
      <c r="BA108" s="464" t="str">
        <f>_xlfn.XLOOKUP(B108,'School List from APT'!A:A,'School List from APT'!C:C,"",FALSE)</f>
        <v>Little Sutton Primary School</v>
      </c>
    </row>
    <row r="109" spans="1:53" x14ac:dyDescent="0.25">
      <c r="A109" s="453" t="s">
        <v>303</v>
      </c>
      <c r="B109" s="453">
        <v>2127</v>
      </c>
      <c r="C109" s="453">
        <v>2127</v>
      </c>
      <c r="D109" s="453" t="s">
        <v>304</v>
      </c>
      <c r="E109" s="453" t="s">
        <v>83</v>
      </c>
      <c r="F109" s="454" t="s">
        <v>162</v>
      </c>
      <c r="G109" s="454" t="s">
        <v>107</v>
      </c>
      <c r="H109" s="451">
        <v>553096.79519478232</v>
      </c>
      <c r="I109" s="451">
        <v>-58133.435194782331</v>
      </c>
      <c r="J109" s="455">
        <v>494963.36</v>
      </c>
      <c r="K109" s="451">
        <v>2284244.2054732987</v>
      </c>
      <c r="L109" s="451">
        <v>401254.97499999998</v>
      </c>
      <c r="M109" s="451">
        <v>-7642.771428571461</v>
      </c>
      <c r="N109" s="451">
        <v>2677856.4090447272</v>
      </c>
      <c r="O109" s="451">
        <v>74347.698952586972</v>
      </c>
      <c r="P109" s="451">
        <v>0</v>
      </c>
      <c r="Q109" s="451">
        <v>0</v>
      </c>
      <c r="R109" s="451">
        <v>0</v>
      </c>
      <c r="S109" s="451">
        <v>74347.698952586972</v>
      </c>
      <c r="T109" s="451">
        <v>2752204.1079973141</v>
      </c>
      <c r="U109" s="451">
        <v>0</v>
      </c>
      <c r="V109" s="451">
        <v>3247167.4679973139</v>
      </c>
      <c r="W109" s="451">
        <v>2758730.94</v>
      </c>
      <c r="X109" s="451">
        <v>0</v>
      </c>
      <c r="Y109" s="451"/>
      <c r="Z109" s="451"/>
      <c r="AA109" s="456"/>
      <c r="AB109" s="451">
        <v>2758730.94</v>
      </c>
      <c r="AC109" s="451">
        <v>488436.527997314</v>
      </c>
      <c r="AD109" s="451">
        <v>0</v>
      </c>
      <c r="AE109" s="457">
        <v>488436.527997314</v>
      </c>
      <c r="AF109" s="451">
        <v>-6526.8320026859874</v>
      </c>
      <c r="AG109" s="451">
        <v>494963.36</v>
      </c>
      <c r="AH109" s="451">
        <v>0</v>
      </c>
      <c r="AI109" s="451">
        <v>0</v>
      </c>
      <c r="AJ109" s="451">
        <v>0</v>
      </c>
      <c r="AK109" s="462"/>
      <c r="AL109" s="453" t="s">
        <v>108</v>
      </c>
      <c r="AM109" s="451">
        <v>488436.527997314</v>
      </c>
      <c r="AN109" s="453" t="s">
        <v>108</v>
      </c>
      <c r="AO109" s="453">
        <v>23</v>
      </c>
      <c r="AP109" s="453">
        <v>47</v>
      </c>
      <c r="AQ109" s="458">
        <v>0.17747104096604693</v>
      </c>
      <c r="AS109" s="459" t="s">
        <v>104</v>
      </c>
      <c r="AT109" s="453" t="s">
        <v>109</v>
      </c>
      <c r="AU109" s="464" t="s">
        <v>303</v>
      </c>
      <c r="AV109" s="460" t="s">
        <v>36</v>
      </c>
      <c r="AW109" s="453" t="s">
        <v>1431</v>
      </c>
      <c r="BA109" s="464" t="str">
        <f>_xlfn.XLOOKUP(B109,'School List from APT'!A:A,'School List from APT'!C:C,"",FALSE)</f>
        <v>Lozells Junior and Infant School and Nursery</v>
      </c>
    </row>
    <row r="110" spans="1:53" x14ac:dyDescent="0.25">
      <c r="A110" s="453" t="s">
        <v>305</v>
      </c>
      <c r="B110" s="453">
        <v>2129</v>
      </c>
      <c r="C110" s="453">
        <v>2129</v>
      </c>
      <c r="D110" s="453" t="s">
        <v>306</v>
      </c>
      <c r="F110" s="454" t="s">
        <v>162</v>
      </c>
      <c r="G110" s="454" t="s">
        <v>107</v>
      </c>
      <c r="H110" s="451">
        <v>147339.17206266103</v>
      </c>
      <c r="I110" s="451">
        <v>-2.0626610203180462E-3</v>
      </c>
      <c r="J110" s="455">
        <v>147339.17000000001</v>
      </c>
      <c r="K110" s="451">
        <v>1370050.9919059633</v>
      </c>
      <c r="L110" s="451">
        <v>193317.4375</v>
      </c>
      <c r="M110" s="451">
        <v>0</v>
      </c>
      <c r="N110" s="451">
        <v>1563368.4294059633</v>
      </c>
      <c r="O110" s="451">
        <v>125784.5517892951</v>
      </c>
      <c r="P110" s="451">
        <v>0</v>
      </c>
      <c r="Q110" s="451">
        <v>0</v>
      </c>
      <c r="R110" s="451">
        <v>0</v>
      </c>
      <c r="S110" s="451">
        <v>125784.5517892951</v>
      </c>
      <c r="T110" s="451">
        <v>1689152.9811952584</v>
      </c>
      <c r="U110" s="451">
        <v>0</v>
      </c>
      <c r="V110" s="451">
        <v>1836492.1511952584</v>
      </c>
      <c r="W110" s="451">
        <v>1720125.71</v>
      </c>
      <c r="X110" s="451">
        <v>0</v>
      </c>
      <c r="Y110" s="451"/>
      <c r="Z110" s="451"/>
      <c r="AA110" s="456"/>
      <c r="AB110" s="451">
        <v>1720125.71</v>
      </c>
      <c r="AC110" s="451">
        <v>116366.44119525841</v>
      </c>
      <c r="AD110" s="451">
        <v>0</v>
      </c>
      <c r="AE110" s="457">
        <v>116366.44119525841</v>
      </c>
      <c r="AF110" s="451">
        <v>-30972.728804741608</v>
      </c>
      <c r="AG110" s="451">
        <v>147339.17000000001</v>
      </c>
      <c r="AH110" s="451">
        <v>0</v>
      </c>
      <c r="AI110" s="451">
        <v>0</v>
      </c>
      <c r="AJ110" s="451">
        <v>0</v>
      </c>
      <c r="AK110" s="462"/>
      <c r="AL110" s="453" t="s">
        <v>108</v>
      </c>
      <c r="AM110" s="451">
        <v>116366.44119525841</v>
      </c>
      <c r="AN110" s="453" t="s">
        <v>108</v>
      </c>
      <c r="AO110" s="453">
        <v>118</v>
      </c>
      <c r="AP110" s="453">
        <v>119</v>
      </c>
      <c r="AQ110" s="458">
        <v>6.8890409862649951E-2</v>
      </c>
      <c r="AS110" s="459" t="s">
        <v>104</v>
      </c>
      <c r="AT110" s="453" t="s">
        <v>109</v>
      </c>
      <c r="AU110" s="464" t="s">
        <v>305</v>
      </c>
      <c r="AV110" s="460" t="s">
        <v>36</v>
      </c>
      <c r="AW110" s="453" t="s">
        <v>1431</v>
      </c>
      <c r="BA110" s="464" t="str">
        <f>_xlfn.XLOOKUP(B110,'School List from APT'!A:A,'School List from APT'!C:C,"",FALSE)</f>
        <v>Lyndon Green Infant School</v>
      </c>
    </row>
    <row r="111" spans="1:53" x14ac:dyDescent="0.25">
      <c r="A111" s="453" t="s">
        <v>307</v>
      </c>
      <c r="B111" s="453">
        <v>2128</v>
      </c>
      <c r="C111" s="453">
        <v>2128</v>
      </c>
      <c r="D111" s="453" t="s">
        <v>308</v>
      </c>
      <c r="F111" s="454" t="s">
        <v>162</v>
      </c>
      <c r="G111" s="454" t="s">
        <v>107</v>
      </c>
      <c r="H111" s="451">
        <v>469282.90130387153</v>
      </c>
      <c r="I111" s="451">
        <v>-1.3038715114817023E-3</v>
      </c>
      <c r="J111" s="455">
        <v>469282.9</v>
      </c>
      <c r="K111" s="451">
        <v>1714362.6219920628</v>
      </c>
      <c r="L111" s="451">
        <v>205881.75</v>
      </c>
      <c r="M111" s="451">
        <v>0</v>
      </c>
      <c r="N111" s="451">
        <v>1920244.3719920628</v>
      </c>
      <c r="O111" s="451">
        <v>158852.84551899324</v>
      </c>
      <c r="P111" s="451">
        <v>0</v>
      </c>
      <c r="Q111" s="451">
        <v>0</v>
      </c>
      <c r="R111" s="451">
        <v>0</v>
      </c>
      <c r="S111" s="451">
        <v>158852.84551899324</v>
      </c>
      <c r="T111" s="451">
        <v>2079097.217511056</v>
      </c>
      <c r="U111" s="451">
        <v>0</v>
      </c>
      <c r="V111" s="451">
        <v>2548380.1175110559</v>
      </c>
      <c r="W111" s="451">
        <v>2165575.4</v>
      </c>
      <c r="X111" s="451">
        <v>0</v>
      </c>
      <c r="Y111" s="451"/>
      <c r="Z111" s="451"/>
      <c r="AA111" s="456"/>
      <c r="AB111" s="451">
        <v>2165575.4</v>
      </c>
      <c r="AC111" s="451">
        <v>382804.71751105599</v>
      </c>
      <c r="AD111" s="451">
        <v>0</v>
      </c>
      <c r="AE111" s="457">
        <v>382804.71751105599</v>
      </c>
      <c r="AF111" s="451">
        <v>-86478.182488944032</v>
      </c>
      <c r="AG111" s="451">
        <v>469282.9</v>
      </c>
      <c r="AH111" s="451">
        <v>0</v>
      </c>
      <c r="AI111" s="451">
        <v>0</v>
      </c>
      <c r="AJ111" s="451">
        <v>0</v>
      </c>
      <c r="AK111" s="462"/>
      <c r="AL111" s="453" t="s">
        <v>108</v>
      </c>
      <c r="AM111" s="451">
        <v>382804.71751105599</v>
      </c>
      <c r="AN111" s="453" t="s">
        <v>108</v>
      </c>
      <c r="AO111" s="453">
        <v>40</v>
      </c>
      <c r="AP111" s="453">
        <v>45</v>
      </c>
      <c r="AQ111" s="458">
        <v>0.18412064346337875</v>
      </c>
      <c r="AS111" s="459" t="s">
        <v>104</v>
      </c>
      <c r="AT111" s="453" t="s">
        <v>109</v>
      </c>
      <c r="AU111" s="464" t="s">
        <v>307</v>
      </c>
      <c r="AV111" s="460" t="s">
        <v>36</v>
      </c>
      <c r="AW111" s="453" t="s">
        <v>1431</v>
      </c>
      <c r="BA111" s="464" t="str">
        <f>_xlfn.XLOOKUP(B111,'School List from APT'!A:A,'School List from APT'!C:C,"",FALSE)</f>
        <v>Lyndon Green Junior School</v>
      </c>
    </row>
    <row r="112" spans="1:53" x14ac:dyDescent="0.25">
      <c r="A112" s="453" t="s">
        <v>309</v>
      </c>
      <c r="B112" s="453">
        <v>2420</v>
      </c>
      <c r="C112" s="453">
        <v>2420</v>
      </c>
      <c r="D112" s="453" t="s">
        <v>310</v>
      </c>
      <c r="F112" s="454" t="s">
        <v>162</v>
      </c>
      <c r="G112" s="454" t="s">
        <v>36</v>
      </c>
      <c r="H112" s="451">
        <v>234700.28431854598</v>
      </c>
      <c r="I112" s="451">
        <v>0</v>
      </c>
      <c r="J112" s="455">
        <v>234700.28431854598</v>
      </c>
      <c r="K112" s="451">
        <v>1717721.085</v>
      </c>
      <c r="L112" s="451">
        <v>136889.5</v>
      </c>
      <c r="M112" s="451">
        <v>0</v>
      </c>
      <c r="N112" s="451">
        <v>1854610.585</v>
      </c>
      <c r="O112" s="451">
        <v>45002.100166666663</v>
      </c>
      <c r="P112" s="451">
        <v>0</v>
      </c>
      <c r="Q112" s="451">
        <v>0</v>
      </c>
      <c r="R112" s="451">
        <v>0</v>
      </c>
      <c r="S112" s="451">
        <v>45002.100166666663</v>
      </c>
      <c r="T112" s="451">
        <v>1899612.6851666665</v>
      </c>
      <c r="U112" s="451">
        <v>0</v>
      </c>
      <c r="V112" s="451">
        <v>2134312.9694852126</v>
      </c>
      <c r="W112" s="451">
        <v>1728257.25</v>
      </c>
      <c r="X112" s="451">
        <v>0</v>
      </c>
      <c r="Y112" s="451"/>
      <c r="Z112" s="451"/>
      <c r="AA112" s="456"/>
      <c r="AB112" s="451">
        <v>1728257.25</v>
      </c>
      <c r="AC112" s="451">
        <v>406055.71948521258</v>
      </c>
      <c r="AD112" s="451">
        <v>328.58039804596439</v>
      </c>
      <c r="AE112" s="457">
        <v>406384.29988325853</v>
      </c>
      <c r="AF112" s="451">
        <v>171684.01556471255</v>
      </c>
      <c r="AG112" s="451">
        <v>234700.28431854598</v>
      </c>
      <c r="AH112" s="451">
        <v>234700.28431854598</v>
      </c>
      <c r="AI112" s="451">
        <v>92730.529250000007</v>
      </c>
      <c r="AJ112" s="451">
        <v>328.58039804596439</v>
      </c>
      <c r="AK112" s="462"/>
      <c r="AL112" s="453" t="s">
        <v>108</v>
      </c>
      <c r="AM112" s="451">
        <v>406384.29988325853</v>
      </c>
      <c r="AN112" s="453" t="s">
        <v>108</v>
      </c>
      <c r="AO112" s="453">
        <v>36</v>
      </c>
      <c r="AP112" s="453">
        <v>28</v>
      </c>
      <c r="AQ112" s="458">
        <v>0.21393008325147267</v>
      </c>
      <c r="AS112" s="459" t="s">
        <v>104</v>
      </c>
      <c r="AT112" s="453" t="s">
        <v>104</v>
      </c>
      <c r="AU112" s="464" t="s">
        <v>309</v>
      </c>
      <c r="AV112" s="460" t="s">
        <v>36</v>
      </c>
      <c r="AW112" s="453" t="s">
        <v>1430</v>
      </c>
      <c r="BA112" s="464" t="str">
        <f>_xlfn.XLOOKUP(B112,'School List from APT'!A:A,'School List from APT'!C:C,"",FALSE)</f>
        <v>Maney Hill Primary School</v>
      </c>
    </row>
    <row r="113" spans="1:53" x14ac:dyDescent="0.25">
      <c r="A113" s="453" t="s">
        <v>311</v>
      </c>
      <c r="B113" s="453">
        <v>2004</v>
      </c>
      <c r="C113" s="453">
        <v>2004</v>
      </c>
      <c r="D113" s="453" t="s">
        <v>312</v>
      </c>
      <c r="E113" s="453" t="s">
        <v>83</v>
      </c>
      <c r="F113" s="454" t="s">
        <v>162</v>
      </c>
      <c r="G113" s="454" t="s">
        <v>36</v>
      </c>
      <c r="H113" s="451">
        <v>192900.3753437094</v>
      </c>
      <c r="I113" s="451">
        <v>0</v>
      </c>
      <c r="J113" s="455">
        <v>192900.3753437094</v>
      </c>
      <c r="K113" s="451">
        <v>1546401.0568378658</v>
      </c>
      <c r="L113" s="451">
        <v>237291.5</v>
      </c>
      <c r="M113" s="451">
        <v>-7449.666666666657</v>
      </c>
      <c r="N113" s="451">
        <v>1776242.8901711991</v>
      </c>
      <c r="O113" s="451">
        <v>3375.9462500000004</v>
      </c>
      <c r="P113" s="451">
        <v>0</v>
      </c>
      <c r="Q113" s="451">
        <v>0</v>
      </c>
      <c r="R113" s="451">
        <v>0</v>
      </c>
      <c r="S113" s="451">
        <v>3375.9462500000004</v>
      </c>
      <c r="T113" s="451">
        <v>1779618.8364211991</v>
      </c>
      <c r="U113" s="451">
        <v>0</v>
      </c>
      <c r="V113" s="451">
        <v>1972519.2117649086</v>
      </c>
      <c r="W113" s="451">
        <v>1850957.82</v>
      </c>
      <c r="X113" s="451">
        <v>0</v>
      </c>
      <c r="Y113" s="451"/>
      <c r="Z113" s="451"/>
      <c r="AA113" s="456"/>
      <c r="AB113" s="451">
        <v>1850957.82</v>
      </c>
      <c r="AC113" s="451">
        <v>121561.39176490856</v>
      </c>
      <c r="AD113" s="451">
        <v>170.18594847087198</v>
      </c>
      <c r="AE113" s="457">
        <v>121731.57771337943</v>
      </c>
      <c r="AF113" s="451">
        <v>-71168.797630329966</v>
      </c>
      <c r="AG113" s="451">
        <v>192900.3753437094</v>
      </c>
      <c r="AH113" s="451">
        <v>121561.39176490856</v>
      </c>
      <c r="AI113" s="451">
        <v>88812.144508559955</v>
      </c>
      <c r="AJ113" s="451">
        <v>170.18594847087198</v>
      </c>
      <c r="AK113" s="462"/>
      <c r="AL113" s="453" t="s">
        <v>108</v>
      </c>
      <c r="AM113" s="451">
        <v>121731.57771337943</v>
      </c>
      <c r="AN113" s="453" t="s">
        <v>108</v>
      </c>
      <c r="AO113" s="453">
        <v>115</v>
      </c>
      <c r="AP113" s="453">
        <v>121</v>
      </c>
      <c r="AQ113" s="458">
        <v>6.8403174445029344E-2</v>
      </c>
      <c r="AS113" s="459" t="s">
        <v>104</v>
      </c>
      <c r="AT113" s="453" t="s">
        <v>104</v>
      </c>
      <c r="AU113" s="464" t="s">
        <v>311</v>
      </c>
      <c r="AV113" s="460" t="s">
        <v>36</v>
      </c>
      <c r="AW113" s="453" t="s">
        <v>1430</v>
      </c>
      <c r="BA113" s="464" t="str">
        <f>_xlfn.XLOOKUP(B113,'School List from APT'!A:A,'School List from APT'!C:C,"",FALSE)</f>
        <v>Mapledene Primary School</v>
      </c>
    </row>
    <row r="114" spans="1:53" x14ac:dyDescent="0.25">
      <c r="A114" s="453" t="s">
        <v>313</v>
      </c>
      <c r="B114" s="453">
        <v>2133</v>
      </c>
      <c r="C114" s="453">
        <v>2133</v>
      </c>
      <c r="D114" s="453" t="s">
        <v>314</v>
      </c>
      <c r="F114" s="454" t="s">
        <v>162</v>
      </c>
      <c r="G114" s="454" t="s">
        <v>107</v>
      </c>
      <c r="H114" s="451">
        <v>537417.63406643458</v>
      </c>
      <c r="I114" s="451">
        <v>-4.0664345724508166E-3</v>
      </c>
      <c r="J114" s="455">
        <v>537417.63</v>
      </c>
      <c r="K114" s="451">
        <v>2151481.3480506423</v>
      </c>
      <c r="L114" s="451">
        <v>350994.625</v>
      </c>
      <c r="M114" s="451">
        <v>0</v>
      </c>
      <c r="N114" s="451">
        <v>2502475.9730506423</v>
      </c>
      <c r="O114" s="451">
        <v>40980.502500000002</v>
      </c>
      <c r="P114" s="451">
        <v>0</v>
      </c>
      <c r="Q114" s="451">
        <v>0</v>
      </c>
      <c r="R114" s="451">
        <v>0</v>
      </c>
      <c r="S114" s="451">
        <v>40980.502500000002</v>
      </c>
      <c r="T114" s="451">
        <v>2543456.4755506422</v>
      </c>
      <c r="U114" s="451">
        <v>0</v>
      </c>
      <c r="V114" s="451">
        <v>3080874.1055506421</v>
      </c>
      <c r="W114" s="451">
        <v>2592899.63</v>
      </c>
      <c r="X114" s="451">
        <v>0</v>
      </c>
      <c r="Y114" s="451"/>
      <c r="Z114" s="451"/>
      <c r="AA114" s="456"/>
      <c r="AB114" s="451">
        <v>2592899.63</v>
      </c>
      <c r="AC114" s="451">
        <v>487974.47555064224</v>
      </c>
      <c r="AD114" s="451">
        <v>0</v>
      </c>
      <c r="AE114" s="457">
        <v>487974.47555064224</v>
      </c>
      <c r="AF114" s="451">
        <v>-49443.154449357768</v>
      </c>
      <c r="AG114" s="451">
        <v>537417.63</v>
      </c>
      <c r="AH114" s="451">
        <v>0</v>
      </c>
      <c r="AI114" s="451">
        <v>0</v>
      </c>
      <c r="AJ114" s="451">
        <v>0</v>
      </c>
      <c r="AK114" s="462"/>
      <c r="AL114" s="453" t="s">
        <v>108</v>
      </c>
      <c r="AM114" s="451">
        <v>487974.47555064224</v>
      </c>
      <c r="AN114" s="453" t="s">
        <v>108</v>
      </c>
      <c r="AO114" s="453">
        <v>24</v>
      </c>
      <c r="AP114" s="453">
        <v>41</v>
      </c>
      <c r="AQ114" s="458">
        <v>0.19185485587875015</v>
      </c>
      <c r="AS114" s="459" t="s">
        <v>104</v>
      </c>
      <c r="AT114" s="453" t="s">
        <v>109</v>
      </c>
      <c r="AU114" s="464" t="s">
        <v>313</v>
      </c>
      <c r="AV114" s="460" t="s">
        <v>36</v>
      </c>
      <c r="AW114" s="453" t="s">
        <v>1431</v>
      </c>
      <c r="BA114" s="464" t="str">
        <f>_xlfn.XLOOKUP(B114,'School List from APT'!A:A,'School List from APT'!C:C,"",FALSE)</f>
        <v>Marsh Hill Primary School</v>
      </c>
    </row>
    <row r="115" spans="1:53" x14ac:dyDescent="0.25">
      <c r="A115" s="453" t="s">
        <v>315</v>
      </c>
      <c r="B115" s="453">
        <v>3322</v>
      </c>
      <c r="C115" s="453">
        <v>3322</v>
      </c>
      <c r="D115" s="453" t="s">
        <v>316</v>
      </c>
      <c r="E115" s="453" t="s">
        <v>83</v>
      </c>
      <c r="F115" s="454" t="s">
        <v>162</v>
      </c>
      <c r="G115" s="454" t="s">
        <v>107</v>
      </c>
      <c r="H115" s="451">
        <v>179498.32758121751</v>
      </c>
      <c r="I115" s="451">
        <v>-13314.817581217503</v>
      </c>
      <c r="J115" s="455">
        <v>166183.51</v>
      </c>
      <c r="K115" s="451">
        <v>1042801.9268747675</v>
      </c>
      <c r="L115" s="451">
        <v>144094.625</v>
      </c>
      <c r="M115" s="451">
        <v>-10972.333333333328</v>
      </c>
      <c r="N115" s="451">
        <v>1175924.2185414343</v>
      </c>
      <c r="O115" s="451">
        <v>15461.002500000001</v>
      </c>
      <c r="P115" s="451">
        <v>0</v>
      </c>
      <c r="Q115" s="451">
        <v>0</v>
      </c>
      <c r="R115" s="451">
        <v>0</v>
      </c>
      <c r="S115" s="451">
        <v>15461.002500000001</v>
      </c>
      <c r="T115" s="451">
        <v>1191385.2210414342</v>
      </c>
      <c r="U115" s="451">
        <v>0</v>
      </c>
      <c r="V115" s="451">
        <v>1357568.7310414342</v>
      </c>
      <c r="W115" s="451">
        <v>1223715.22</v>
      </c>
      <c r="X115" s="451">
        <v>0</v>
      </c>
      <c r="Y115" s="451"/>
      <c r="Z115" s="451"/>
      <c r="AA115" s="456"/>
      <c r="AB115" s="451">
        <v>1223715.22</v>
      </c>
      <c r="AC115" s="451">
        <v>133853.51104143425</v>
      </c>
      <c r="AD115" s="451">
        <v>0</v>
      </c>
      <c r="AE115" s="457">
        <v>133853.51104143425</v>
      </c>
      <c r="AF115" s="451">
        <v>-32329.99895856576</v>
      </c>
      <c r="AG115" s="451">
        <v>166183.51</v>
      </c>
      <c r="AH115" s="451">
        <v>0</v>
      </c>
      <c r="AI115" s="451">
        <v>0</v>
      </c>
      <c r="AJ115" s="451">
        <v>0</v>
      </c>
      <c r="AK115" s="462"/>
      <c r="AL115" s="453" t="s">
        <v>108</v>
      </c>
      <c r="AM115" s="451">
        <v>133853.51104143425</v>
      </c>
      <c r="AN115" s="453" t="s">
        <v>108</v>
      </c>
      <c r="AO115" s="453">
        <v>108</v>
      </c>
      <c r="AP115" s="453">
        <v>92</v>
      </c>
      <c r="AQ115" s="458">
        <v>0.11235115953883322</v>
      </c>
      <c r="AS115" s="459" t="s">
        <v>104</v>
      </c>
      <c r="AT115" s="453" t="s">
        <v>109</v>
      </c>
      <c r="AU115" s="464" t="s">
        <v>315</v>
      </c>
      <c r="AV115" s="460" t="s">
        <v>36</v>
      </c>
      <c r="AW115" s="453" t="s">
        <v>1431</v>
      </c>
      <c r="BA115" s="464" t="str">
        <f>_xlfn.XLOOKUP(B115,'School List from APT'!A:A,'School List from APT'!C:C,"",FALSE)</f>
        <v>Maryvale Catholic Primary School</v>
      </c>
    </row>
    <row r="116" spans="1:53" x14ac:dyDescent="0.25">
      <c r="A116" s="453" t="s">
        <v>317</v>
      </c>
      <c r="B116" s="453">
        <v>2246</v>
      </c>
      <c r="C116" s="453">
        <v>2246</v>
      </c>
      <c r="D116" s="453" t="s">
        <v>318</v>
      </c>
      <c r="F116" s="454" t="s">
        <v>162</v>
      </c>
      <c r="G116" s="454" t="s">
        <v>36</v>
      </c>
      <c r="H116" s="451">
        <v>255594.34898708828</v>
      </c>
      <c r="I116" s="451">
        <v>0</v>
      </c>
      <c r="J116" s="455">
        <v>255594.34898708828</v>
      </c>
      <c r="K116" s="451">
        <v>2981285.1631213776</v>
      </c>
      <c r="L116" s="451">
        <v>559587.5625</v>
      </c>
      <c r="M116" s="451">
        <v>0</v>
      </c>
      <c r="N116" s="451">
        <v>3540872.7256213776</v>
      </c>
      <c r="O116" s="451">
        <v>193359.48449695105</v>
      </c>
      <c r="P116" s="451">
        <v>0</v>
      </c>
      <c r="Q116" s="451">
        <v>0</v>
      </c>
      <c r="R116" s="451">
        <v>0</v>
      </c>
      <c r="S116" s="451">
        <v>193359.48449695105</v>
      </c>
      <c r="T116" s="451">
        <v>3734232.2101183287</v>
      </c>
      <c r="U116" s="451">
        <v>0</v>
      </c>
      <c r="V116" s="451">
        <v>3989826.5591054168</v>
      </c>
      <c r="W116" s="451">
        <v>3685982.44</v>
      </c>
      <c r="X116" s="451">
        <v>0</v>
      </c>
      <c r="Y116" s="451"/>
      <c r="Z116" s="451"/>
      <c r="AA116" s="456"/>
      <c r="AB116" s="451">
        <v>3685982.44</v>
      </c>
      <c r="AC116" s="451">
        <v>303844.11910541682</v>
      </c>
      <c r="AD116" s="451">
        <v>357.83208858192359</v>
      </c>
      <c r="AE116" s="457">
        <v>304201.95119399874</v>
      </c>
      <c r="AF116" s="451">
        <v>48607.602206910466</v>
      </c>
      <c r="AG116" s="451">
        <v>255594.34898708828</v>
      </c>
      <c r="AH116" s="451">
        <v>255594.34898708828</v>
      </c>
      <c r="AI116" s="451">
        <v>177043.6362810689</v>
      </c>
      <c r="AJ116" s="451">
        <v>357.83208858192359</v>
      </c>
      <c r="AK116" s="462"/>
      <c r="AL116" s="453" t="s">
        <v>108</v>
      </c>
      <c r="AM116" s="451">
        <v>304201.95119399874</v>
      </c>
      <c r="AN116" s="453" t="s">
        <v>108</v>
      </c>
      <c r="AO116" s="453">
        <v>56</v>
      </c>
      <c r="AP116" s="453">
        <v>114</v>
      </c>
      <c r="AQ116" s="458">
        <v>8.1463051593237509E-2</v>
      </c>
      <c r="AS116" s="459" t="s">
        <v>104</v>
      </c>
      <c r="AT116" s="453" t="s">
        <v>104</v>
      </c>
      <c r="AU116" s="464" t="s">
        <v>317</v>
      </c>
      <c r="AV116" s="460" t="s">
        <v>36</v>
      </c>
      <c r="AW116" s="453" t="s">
        <v>1430</v>
      </c>
      <c r="BA116" s="464" t="str">
        <f>_xlfn.XLOOKUP(B116,'School List from APT'!A:A,'School List from APT'!C:C,"",FALSE)</f>
        <v>The Meadows Primary School</v>
      </c>
    </row>
    <row r="117" spans="1:53" x14ac:dyDescent="0.25">
      <c r="A117" s="453" t="s">
        <v>319</v>
      </c>
      <c r="B117" s="453">
        <v>2406</v>
      </c>
      <c r="C117" s="453">
        <v>2406</v>
      </c>
      <c r="D117" s="453" t="s">
        <v>320</v>
      </c>
      <c r="F117" s="454" t="s">
        <v>162</v>
      </c>
      <c r="G117" s="454" t="s">
        <v>36</v>
      </c>
      <c r="H117" s="451">
        <v>141308.52874624869</v>
      </c>
      <c r="I117" s="451">
        <v>0</v>
      </c>
      <c r="J117" s="455">
        <v>141308.52874624869</v>
      </c>
      <c r="K117" s="451">
        <v>1095157.9445535629</v>
      </c>
      <c r="L117" s="451">
        <v>209234.25</v>
      </c>
      <c r="M117" s="451">
        <v>0</v>
      </c>
      <c r="N117" s="451">
        <v>1304392.1945535629</v>
      </c>
      <c r="O117" s="451">
        <v>31368.997499999998</v>
      </c>
      <c r="P117" s="451">
        <v>0</v>
      </c>
      <c r="Q117" s="451">
        <v>0</v>
      </c>
      <c r="R117" s="451">
        <v>0</v>
      </c>
      <c r="S117" s="451">
        <v>31368.997499999998</v>
      </c>
      <c r="T117" s="451">
        <v>1335761.192053563</v>
      </c>
      <c r="U117" s="451">
        <v>0</v>
      </c>
      <c r="V117" s="451">
        <v>1477069.7207998117</v>
      </c>
      <c r="W117" s="451">
        <v>1266351.93</v>
      </c>
      <c r="X117" s="451">
        <v>0</v>
      </c>
      <c r="Y117" s="451"/>
      <c r="Z117" s="451"/>
      <c r="AA117" s="456"/>
      <c r="AB117" s="451">
        <v>1266351.93</v>
      </c>
      <c r="AC117" s="451">
        <v>210717.79079981172</v>
      </c>
      <c r="AD117" s="451">
        <v>197.83194024474815</v>
      </c>
      <c r="AE117" s="457">
        <v>210915.62274005645</v>
      </c>
      <c r="AF117" s="451">
        <v>69607.093993807764</v>
      </c>
      <c r="AG117" s="451">
        <v>141308.52874624869</v>
      </c>
      <c r="AH117" s="451">
        <v>141308.52874624869</v>
      </c>
      <c r="AI117" s="451">
        <v>65219.609727678151</v>
      </c>
      <c r="AJ117" s="451">
        <v>197.83194024474815</v>
      </c>
      <c r="AK117" s="462"/>
      <c r="AL117" s="453" t="s">
        <v>108</v>
      </c>
      <c r="AM117" s="451">
        <v>210915.62274005645</v>
      </c>
      <c r="AN117" s="453" t="s">
        <v>108</v>
      </c>
      <c r="AO117" s="453">
        <v>91</v>
      </c>
      <c r="AP117" s="453">
        <v>56</v>
      </c>
      <c r="AQ117" s="458">
        <v>0.15789919934400887</v>
      </c>
      <c r="AS117" s="459" t="s">
        <v>104</v>
      </c>
      <c r="AT117" s="453" t="s">
        <v>104</v>
      </c>
      <c r="AU117" s="464" t="s">
        <v>319</v>
      </c>
      <c r="AV117" s="460" t="s">
        <v>36</v>
      </c>
      <c r="AW117" s="453" t="s">
        <v>1430</v>
      </c>
      <c r="BA117" s="464" t="str">
        <f>_xlfn.XLOOKUP(B117,'School List from APT'!A:A,'School List from APT'!C:C,"",FALSE)</f>
        <v>Minworth Junior and Infant School</v>
      </c>
    </row>
    <row r="118" spans="1:53" x14ac:dyDescent="0.25">
      <c r="A118" s="453" t="s">
        <v>321</v>
      </c>
      <c r="B118" s="453">
        <v>2416</v>
      </c>
      <c r="C118" s="453">
        <v>2416</v>
      </c>
      <c r="D118" s="453" t="s">
        <v>322</v>
      </c>
      <c r="F118" s="454" t="s">
        <v>162</v>
      </c>
      <c r="G118" s="454" t="s">
        <v>36</v>
      </c>
      <c r="H118" s="451">
        <v>48088.385327692842</v>
      </c>
      <c r="I118" s="451">
        <v>0</v>
      </c>
      <c r="J118" s="455">
        <v>48088.385327692842</v>
      </c>
      <c r="K118" s="451">
        <v>1368059.855</v>
      </c>
      <c r="L118" s="451">
        <v>138351.375</v>
      </c>
      <c r="M118" s="451">
        <v>0</v>
      </c>
      <c r="N118" s="451">
        <v>1506411.23</v>
      </c>
      <c r="O118" s="451">
        <v>38133.892999999996</v>
      </c>
      <c r="P118" s="451">
        <v>0</v>
      </c>
      <c r="Q118" s="451">
        <v>0</v>
      </c>
      <c r="R118" s="451">
        <v>0</v>
      </c>
      <c r="S118" s="451">
        <v>38133.892999999996</v>
      </c>
      <c r="T118" s="451">
        <v>1544545.1229999999</v>
      </c>
      <c r="U118" s="451">
        <v>0</v>
      </c>
      <c r="V118" s="451">
        <v>1592633.5083276927</v>
      </c>
      <c r="W118" s="451">
        <v>1583936.16</v>
      </c>
      <c r="X118" s="451">
        <v>-19276.23</v>
      </c>
      <c r="Y118" s="451"/>
      <c r="Z118" s="451"/>
      <c r="AA118" s="456"/>
      <c r="AB118" s="451">
        <v>1564659.93</v>
      </c>
      <c r="AC118" s="451">
        <v>27973.578327692812</v>
      </c>
      <c r="AD118" s="451">
        <v>39.163009658769937</v>
      </c>
      <c r="AE118" s="457">
        <v>28012.741337351581</v>
      </c>
      <c r="AF118" s="451">
        <v>-20075.643990341261</v>
      </c>
      <c r="AG118" s="451">
        <v>48088.385327692842</v>
      </c>
      <c r="AH118" s="451">
        <v>27973.578327692812</v>
      </c>
      <c r="AI118" s="451">
        <v>75320.561499999996</v>
      </c>
      <c r="AJ118" s="451">
        <v>39.163009658769937</v>
      </c>
      <c r="AK118" s="462"/>
      <c r="AL118" s="453" t="s">
        <v>108</v>
      </c>
      <c r="AM118" s="451">
        <v>28012.741337351581</v>
      </c>
      <c r="AN118" s="453" t="s">
        <v>108</v>
      </c>
      <c r="AO118" s="453">
        <v>142</v>
      </c>
      <c r="AP118" s="453">
        <v>143</v>
      </c>
      <c r="AQ118" s="458">
        <v>1.8136563911413536E-2</v>
      </c>
      <c r="AS118" s="459" t="s">
        <v>104</v>
      </c>
      <c r="AT118" s="453" t="s">
        <v>104</v>
      </c>
      <c r="AU118" s="464" t="s">
        <v>321</v>
      </c>
      <c r="AV118" s="460" t="s">
        <v>36</v>
      </c>
      <c r="AW118" s="453" t="s">
        <v>1430</v>
      </c>
      <c r="BA118" s="464" t="str">
        <f>_xlfn.XLOOKUP(B118,'School List from APT'!A:A,'School List from APT'!C:C,"",FALSE)</f>
        <v>Moor Hall Primary School</v>
      </c>
    </row>
    <row r="119" spans="1:53" x14ac:dyDescent="0.25">
      <c r="A119" s="453" t="s">
        <v>323</v>
      </c>
      <c r="B119" s="453">
        <v>3003</v>
      </c>
      <c r="C119" s="453">
        <v>3003</v>
      </c>
      <c r="D119" s="453" t="s">
        <v>324</v>
      </c>
      <c r="F119" s="454" t="s">
        <v>162</v>
      </c>
      <c r="G119" s="454" t="s">
        <v>36</v>
      </c>
      <c r="H119" s="451">
        <v>144542.2542893994</v>
      </c>
      <c r="I119" s="451">
        <v>0</v>
      </c>
      <c r="J119" s="455">
        <v>144542.2542893994</v>
      </c>
      <c r="K119" s="451">
        <v>927973.06597692578</v>
      </c>
      <c r="L119" s="451">
        <v>97029</v>
      </c>
      <c r="M119" s="451">
        <v>0</v>
      </c>
      <c r="N119" s="451">
        <v>1025002.0659769258</v>
      </c>
      <c r="O119" s="451">
        <v>7407.2153209021162</v>
      </c>
      <c r="P119" s="451">
        <v>0</v>
      </c>
      <c r="Q119" s="451">
        <v>0</v>
      </c>
      <c r="R119" s="451">
        <v>0</v>
      </c>
      <c r="S119" s="451">
        <v>7407.2153209021162</v>
      </c>
      <c r="T119" s="451">
        <v>1032409.2812978278</v>
      </c>
      <c r="U119" s="451">
        <v>0</v>
      </c>
      <c r="V119" s="451">
        <v>1176951.5355872272</v>
      </c>
      <c r="W119" s="451">
        <v>1074048.52</v>
      </c>
      <c r="X119" s="451">
        <v>0</v>
      </c>
      <c r="Y119" s="451"/>
      <c r="Z119" s="451"/>
      <c r="AA119" s="456"/>
      <c r="AB119" s="451">
        <v>1074048.52</v>
      </c>
      <c r="AC119" s="451">
        <v>102903.01558722719</v>
      </c>
      <c r="AD119" s="451">
        <v>144.06422182211804</v>
      </c>
      <c r="AE119" s="457">
        <v>103047.0798090493</v>
      </c>
      <c r="AF119" s="451">
        <v>-41495.174480350091</v>
      </c>
      <c r="AG119" s="451">
        <v>144542.2542893994</v>
      </c>
      <c r="AH119" s="451">
        <v>102903.01558722719</v>
      </c>
      <c r="AI119" s="451">
        <v>51250.10329884629</v>
      </c>
      <c r="AJ119" s="451">
        <v>144.06422182211804</v>
      </c>
      <c r="AK119" s="462"/>
      <c r="AL119" s="453" t="s">
        <v>108</v>
      </c>
      <c r="AM119" s="451">
        <v>103047.0798090493</v>
      </c>
      <c r="AN119" s="453" t="s">
        <v>108</v>
      </c>
      <c r="AO119" s="453">
        <v>121</v>
      </c>
      <c r="AP119" s="453">
        <v>100</v>
      </c>
      <c r="AQ119" s="458">
        <v>9.9812236944935448E-2</v>
      </c>
      <c r="AS119" s="459" t="s">
        <v>104</v>
      </c>
      <c r="AT119" s="453" t="s">
        <v>104</v>
      </c>
      <c r="AU119" s="464" t="s">
        <v>323</v>
      </c>
      <c r="AV119" s="460" t="s">
        <v>36</v>
      </c>
      <c r="AW119" s="453" t="s">
        <v>1430</v>
      </c>
      <c r="BA119" s="464" t="str">
        <f>_xlfn.XLOOKUP(B119,'School List from APT'!A:A,'School List from APT'!C:C,"",FALSE)</f>
        <v>Moseley Church of England Primary School</v>
      </c>
    </row>
    <row r="120" spans="1:53" x14ac:dyDescent="0.25">
      <c r="A120" s="453" t="s">
        <v>325</v>
      </c>
      <c r="B120" s="453">
        <v>2142</v>
      </c>
      <c r="C120" s="453">
        <v>2142</v>
      </c>
      <c r="D120" s="453" t="s">
        <v>326</v>
      </c>
      <c r="E120" s="453" t="s">
        <v>83</v>
      </c>
      <c r="F120" s="454" t="s">
        <v>162</v>
      </c>
      <c r="G120" s="454" t="s">
        <v>36</v>
      </c>
      <c r="H120" s="451">
        <v>887892.85889922176</v>
      </c>
      <c r="I120" s="451">
        <v>0</v>
      </c>
      <c r="J120" s="455">
        <v>887892.85889922176</v>
      </c>
      <c r="K120" s="451">
        <v>2319344.5776132974</v>
      </c>
      <c r="L120" s="451">
        <v>385316.75</v>
      </c>
      <c r="M120" s="451">
        <v>-1274.6399999999994</v>
      </c>
      <c r="N120" s="451">
        <v>2703386.6876132973</v>
      </c>
      <c r="O120" s="451">
        <v>44922.85291666667</v>
      </c>
      <c r="P120" s="451">
        <v>0</v>
      </c>
      <c r="Q120" s="451">
        <v>0</v>
      </c>
      <c r="R120" s="451">
        <v>0</v>
      </c>
      <c r="S120" s="451">
        <v>44922.85291666667</v>
      </c>
      <c r="T120" s="451">
        <v>2748309.540529964</v>
      </c>
      <c r="U120" s="451">
        <v>0</v>
      </c>
      <c r="V120" s="451">
        <v>3636202.3994291858</v>
      </c>
      <c r="W120" s="451">
        <v>2442451.86</v>
      </c>
      <c r="X120" s="451">
        <v>0</v>
      </c>
      <c r="Y120" s="451"/>
      <c r="Z120" s="451"/>
      <c r="AA120" s="456"/>
      <c r="AB120" s="451">
        <v>2442451.86</v>
      </c>
      <c r="AC120" s="451">
        <v>1193750.5394291859</v>
      </c>
      <c r="AD120" s="451">
        <v>1243.0500024589103</v>
      </c>
      <c r="AE120" s="457">
        <v>1194993.5894316449</v>
      </c>
      <c r="AF120" s="451">
        <v>307100.73053242313</v>
      </c>
      <c r="AG120" s="451">
        <v>887892.85889922176</v>
      </c>
      <c r="AH120" s="451">
        <v>887892.85889922176</v>
      </c>
      <c r="AI120" s="451">
        <v>135169.33438066486</v>
      </c>
      <c r="AJ120" s="451">
        <v>1243.0500024589103</v>
      </c>
      <c r="AK120" s="462"/>
      <c r="AL120" s="453" t="s">
        <v>108</v>
      </c>
      <c r="AM120" s="451">
        <v>1194993.5894316449</v>
      </c>
      <c r="AN120" s="453" t="s">
        <v>108</v>
      </c>
      <c r="AO120" s="453">
        <v>2</v>
      </c>
      <c r="AP120" s="453">
        <v>5</v>
      </c>
      <c r="AQ120" s="458">
        <v>0.43481040683692823</v>
      </c>
      <c r="AS120" s="459" t="s">
        <v>104</v>
      </c>
      <c r="AT120" s="453" t="s">
        <v>104</v>
      </c>
      <c r="AU120" s="464" t="s">
        <v>325</v>
      </c>
      <c r="AV120" s="460" t="s">
        <v>36</v>
      </c>
      <c r="AW120" s="453" t="s">
        <v>1430</v>
      </c>
      <c r="BA120" s="464" t="str">
        <f>_xlfn.XLOOKUP(B120,'School List from APT'!A:A,'School List from APT'!C:C,"",FALSE)</f>
        <v>Nelson Junior and Infant School</v>
      </c>
    </row>
    <row r="121" spans="1:53" x14ac:dyDescent="0.25">
      <c r="A121" s="453" t="s">
        <v>327</v>
      </c>
      <c r="B121" s="453">
        <v>2457</v>
      </c>
      <c r="C121" s="453">
        <v>2457</v>
      </c>
      <c r="D121" s="453" t="s">
        <v>328</v>
      </c>
      <c r="E121" s="453" t="s">
        <v>83</v>
      </c>
      <c r="F121" s="454" t="s">
        <v>162</v>
      </c>
      <c r="G121" s="454" t="s">
        <v>36</v>
      </c>
      <c r="H121" s="451">
        <v>810280.49363574758</v>
      </c>
      <c r="I121" s="451">
        <v>0</v>
      </c>
      <c r="J121" s="455">
        <v>810280.49363574758</v>
      </c>
      <c r="K121" s="451">
        <v>2230905.3473434085</v>
      </c>
      <c r="L121" s="451">
        <v>350378.0625</v>
      </c>
      <c r="M121" s="451">
        <v>-4771.2571428571537</v>
      </c>
      <c r="N121" s="451">
        <v>2576512.1527005513</v>
      </c>
      <c r="O121" s="451">
        <v>143784.39647956853</v>
      </c>
      <c r="P121" s="451">
        <v>0</v>
      </c>
      <c r="Q121" s="451">
        <v>0</v>
      </c>
      <c r="R121" s="451">
        <v>0</v>
      </c>
      <c r="S121" s="451">
        <v>143784.39647956853</v>
      </c>
      <c r="T121" s="451">
        <v>2720296.5491801198</v>
      </c>
      <c r="U121" s="451">
        <v>0</v>
      </c>
      <c r="V121" s="451">
        <v>3530577.0428158673</v>
      </c>
      <c r="W121" s="451">
        <v>2718860.72</v>
      </c>
      <c r="X121" s="451">
        <v>0</v>
      </c>
      <c r="Y121" s="451"/>
      <c r="Z121" s="451"/>
      <c r="AA121" s="456"/>
      <c r="AB121" s="451">
        <v>2718860.72</v>
      </c>
      <c r="AC121" s="451">
        <v>811716.32281586714</v>
      </c>
      <c r="AD121" s="451">
        <v>1134.3926910900466</v>
      </c>
      <c r="AE121" s="457">
        <v>812850.71550695715</v>
      </c>
      <c r="AF121" s="451">
        <v>2570.2218712095637</v>
      </c>
      <c r="AG121" s="451">
        <v>810280.49363574758</v>
      </c>
      <c r="AH121" s="451">
        <v>810280.49363574758</v>
      </c>
      <c r="AI121" s="451">
        <v>128825.60763502757</v>
      </c>
      <c r="AJ121" s="451">
        <v>1134.3926910900466</v>
      </c>
      <c r="AK121" s="462"/>
      <c r="AL121" s="453" t="s">
        <v>108</v>
      </c>
      <c r="AM121" s="451">
        <v>812850.71550695715</v>
      </c>
      <c r="AN121" s="453" t="s">
        <v>108</v>
      </c>
      <c r="AO121" s="453">
        <v>6</v>
      </c>
      <c r="AP121" s="453">
        <v>13</v>
      </c>
      <c r="AQ121" s="458">
        <v>0.29880959697278048</v>
      </c>
      <c r="AS121" s="459" t="s">
        <v>104</v>
      </c>
      <c r="AT121" s="453" t="s">
        <v>104</v>
      </c>
      <c r="AU121" s="464" t="s">
        <v>327</v>
      </c>
      <c r="AV121" s="460" t="s">
        <v>36</v>
      </c>
      <c r="AW121" s="453" t="s">
        <v>1430</v>
      </c>
      <c r="BA121" s="464" t="str">
        <f>_xlfn.XLOOKUP(B121,'School List from APT'!A:A,'School List from APT'!C:C,"",FALSE)</f>
        <v>Nelson Mandela School</v>
      </c>
    </row>
    <row r="122" spans="1:53" x14ac:dyDescent="0.25">
      <c r="A122" s="453" t="s">
        <v>329</v>
      </c>
      <c r="B122" s="453">
        <v>2469</v>
      </c>
      <c r="C122" s="453">
        <v>2469</v>
      </c>
      <c r="D122" s="453" t="s">
        <v>330</v>
      </c>
      <c r="E122" s="453" t="s">
        <v>83</v>
      </c>
      <c r="F122" s="454" t="s">
        <v>162</v>
      </c>
      <c r="G122" s="454" t="s">
        <v>36</v>
      </c>
      <c r="H122" s="451">
        <v>330595.18447440973</v>
      </c>
      <c r="I122" s="451">
        <v>0</v>
      </c>
      <c r="J122" s="455">
        <v>330595.18447440973</v>
      </c>
      <c r="K122" s="451">
        <v>1594289.1064362023</v>
      </c>
      <c r="L122" s="451">
        <v>290709.25</v>
      </c>
      <c r="M122" s="451">
        <v>0</v>
      </c>
      <c r="N122" s="451">
        <v>1884998.3564362023</v>
      </c>
      <c r="O122" s="451">
        <v>8515</v>
      </c>
      <c r="P122" s="451">
        <v>0</v>
      </c>
      <c r="Q122" s="451">
        <v>0</v>
      </c>
      <c r="R122" s="451">
        <v>0</v>
      </c>
      <c r="S122" s="451">
        <v>8515</v>
      </c>
      <c r="T122" s="451">
        <v>1893513.3564362023</v>
      </c>
      <c r="U122" s="451">
        <v>0</v>
      </c>
      <c r="V122" s="451">
        <v>2224108.5409106119</v>
      </c>
      <c r="W122" s="451">
        <v>1786492.82</v>
      </c>
      <c r="X122" s="451">
        <v>-3588.08</v>
      </c>
      <c r="Y122" s="451"/>
      <c r="Z122" s="451"/>
      <c r="AA122" s="456"/>
      <c r="AB122" s="451">
        <v>1782904.74</v>
      </c>
      <c r="AC122" s="451">
        <v>441203.80091061187</v>
      </c>
      <c r="AD122" s="451">
        <v>462.83325826417365</v>
      </c>
      <c r="AE122" s="457">
        <v>441666.63416887604</v>
      </c>
      <c r="AF122" s="451">
        <v>111071.44969446631</v>
      </c>
      <c r="AG122" s="451">
        <v>330595.18447440973</v>
      </c>
      <c r="AH122" s="451">
        <v>330595.18447440973</v>
      </c>
      <c r="AI122" s="451">
        <v>94249.917821810115</v>
      </c>
      <c r="AJ122" s="451">
        <v>462.83325826417365</v>
      </c>
      <c r="AK122" s="462"/>
      <c r="AL122" s="453" t="s">
        <v>108</v>
      </c>
      <c r="AM122" s="451">
        <v>441666.63416887604</v>
      </c>
      <c r="AN122" s="453" t="s">
        <v>108</v>
      </c>
      <c r="AO122" s="453">
        <v>34</v>
      </c>
      <c r="AP122" s="453">
        <v>21</v>
      </c>
      <c r="AQ122" s="458">
        <v>0.23325245246758683</v>
      </c>
      <c r="AS122" s="459" t="s">
        <v>104</v>
      </c>
      <c r="AT122" s="453" t="s">
        <v>104</v>
      </c>
      <c r="AU122" s="464" t="s">
        <v>329</v>
      </c>
      <c r="AV122" s="460" t="s">
        <v>36</v>
      </c>
      <c r="AW122" s="453" t="s">
        <v>1430</v>
      </c>
      <c r="BA122" s="464" t="str">
        <f>_xlfn.XLOOKUP(B122,'School List from APT'!A:A,'School List from APT'!C:C,"",FALSE)</f>
        <v>New Hall Primary School</v>
      </c>
    </row>
    <row r="123" spans="1:53" x14ac:dyDescent="0.25">
      <c r="A123" s="453" t="s">
        <v>35</v>
      </c>
      <c r="B123" s="453">
        <v>3431</v>
      </c>
      <c r="C123" s="453">
        <v>3431</v>
      </c>
      <c r="D123" s="453" t="s">
        <v>34</v>
      </c>
      <c r="E123" s="453" t="s">
        <v>83</v>
      </c>
      <c r="F123" s="454" t="s">
        <v>162</v>
      </c>
      <c r="G123" s="454" t="s">
        <v>36</v>
      </c>
      <c r="H123" s="451">
        <v>54145.396383199346</v>
      </c>
      <c r="I123" s="451">
        <v>0</v>
      </c>
      <c r="J123" s="455">
        <v>54145.396383199346</v>
      </c>
      <c r="K123" s="451">
        <v>2826703.8197872341</v>
      </c>
      <c r="L123" s="451">
        <v>310832.25</v>
      </c>
      <c r="M123" s="451">
        <v>-20314.704255319171</v>
      </c>
      <c r="N123" s="451">
        <v>3117221.3655319149</v>
      </c>
      <c r="O123" s="451">
        <v>92828.244999999995</v>
      </c>
      <c r="P123" s="451">
        <v>0</v>
      </c>
      <c r="Q123" s="451">
        <v>0</v>
      </c>
      <c r="R123" s="451">
        <v>0</v>
      </c>
      <c r="S123" s="451">
        <v>92828.244999999995</v>
      </c>
      <c r="T123" s="451">
        <v>3210049.610531915</v>
      </c>
      <c r="U123" s="451">
        <v>0</v>
      </c>
      <c r="V123" s="451">
        <v>3264195.0069151144</v>
      </c>
      <c r="W123" s="451">
        <v>3222388.97</v>
      </c>
      <c r="X123" s="451">
        <v>-7553.78</v>
      </c>
      <c r="Y123" s="451"/>
      <c r="Z123" s="451"/>
      <c r="AA123" s="456"/>
      <c r="AB123" s="451">
        <v>3214835.1900000004</v>
      </c>
      <c r="AC123" s="451">
        <v>49359.816915113945</v>
      </c>
      <c r="AD123" s="451">
        <v>69.103743681159528</v>
      </c>
      <c r="AE123" s="457">
        <v>49428.920658795105</v>
      </c>
      <c r="AF123" s="451">
        <v>-4716.4757244042412</v>
      </c>
      <c r="AG123" s="451">
        <v>54145.396383199346</v>
      </c>
      <c r="AH123" s="451">
        <v>49359.816915113945</v>
      </c>
      <c r="AI123" s="451">
        <v>155861.06827659576</v>
      </c>
      <c r="AJ123" s="451">
        <v>69.103743681159528</v>
      </c>
      <c r="AK123" s="462"/>
      <c r="AL123" s="453" t="s">
        <v>108</v>
      </c>
      <c r="AM123" s="451">
        <v>49428.920658795105</v>
      </c>
      <c r="AN123" s="453" t="s">
        <v>108</v>
      </c>
      <c r="AO123" s="453">
        <v>137</v>
      </c>
      <c r="AP123" s="453">
        <v>144</v>
      </c>
      <c r="AQ123" s="458">
        <v>1.5398179671934908E-2</v>
      </c>
      <c r="AS123" s="459" t="s">
        <v>104</v>
      </c>
      <c r="AT123" s="453" t="s">
        <v>104</v>
      </c>
      <c r="AU123" s="464" t="s">
        <v>35</v>
      </c>
      <c r="AV123" s="460" t="s">
        <v>36</v>
      </c>
      <c r="AW123" s="453" t="s">
        <v>1430</v>
      </c>
      <c r="BA123" s="464" t="str">
        <f>_xlfn.XLOOKUP(B123,'School List from APT'!A:A,'School List from APT'!C:C,"",FALSE)</f>
        <v>New Oscott Primary School</v>
      </c>
    </row>
    <row r="124" spans="1:53" x14ac:dyDescent="0.25">
      <c r="A124" s="453" t="s">
        <v>331</v>
      </c>
      <c r="B124" s="453">
        <v>3323</v>
      </c>
      <c r="C124" s="453">
        <v>3323</v>
      </c>
      <c r="D124" s="453" t="s">
        <v>332</v>
      </c>
      <c r="E124" s="453" t="s">
        <v>83</v>
      </c>
      <c r="F124" s="454" t="s">
        <v>162</v>
      </c>
      <c r="G124" s="454" t="s">
        <v>36</v>
      </c>
      <c r="H124" s="451">
        <v>161610.84786753618</v>
      </c>
      <c r="I124" s="451">
        <v>0</v>
      </c>
      <c r="J124" s="455">
        <v>161610.84786753618</v>
      </c>
      <c r="K124" s="451">
        <v>1117680.9077614092</v>
      </c>
      <c r="L124" s="451">
        <v>193770.875</v>
      </c>
      <c r="M124" s="451">
        <v>9996.9166666666715</v>
      </c>
      <c r="N124" s="451">
        <v>1321448.6994280759</v>
      </c>
      <c r="O124" s="451">
        <v>34730.170416666668</v>
      </c>
      <c r="P124" s="451">
        <v>0</v>
      </c>
      <c r="Q124" s="451">
        <v>0</v>
      </c>
      <c r="R124" s="451">
        <v>0</v>
      </c>
      <c r="S124" s="451">
        <v>34730.170416666668</v>
      </c>
      <c r="T124" s="451">
        <v>1356178.8698447426</v>
      </c>
      <c r="U124" s="451">
        <v>0</v>
      </c>
      <c r="V124" s="451">
        <v>1517789.7177122787</v>
      </c>
      <c r="W124" s="451">
        <v>1627293.48</v>
      </c>
      <c r="X124" s="451">
        <v>0</v>
      </c>
      <c r="Y124" s="451"/>
      <c r="Z124" s="451"/>
      <c r="AA124" s="456"/>
      <c r="AB124" s="451">
        <v>1627293.48</v>
      </c>
      <c r="AC124" s="451">
        <v>-109503.76228772127</v>
      </c>
      <c r="AD124" s="451">
        <v>0</v>
      </c>
      <c r="AE124" s="457">
        <v>-109503.76228772127</v>
      </c>
      <c r="AF124" s="451">
        <v>-271114.61015525745</v>
      </c>
      <c r="AG124" s="451">
        <v>161610.84786753618</v>
      </c>
      <c r="AH124" s="451">
        <v>0</v>
      </c>
      <c r="AI124" s="451">
        <v>0</v>
      </c>
      <c r="AJ124" s="451">
        <v>0</v>
      </c>
      <c r="AK124" s="462"/>
      <c r="AL124" s="453" t="s">
        <v>103</v>
      </c>
      <c r="AM124" s="451">
        <v>-109503.76228772127</v>
      </c>
      <c r="AN124" s="453" t="s">
        <v>103</v>
      </c>
      <c r="AO124" s="453">
        <v>161</v>
      </c>
      <c r="AP124" s="453">
        <v>162</v>
      </c>
      <c r="AQ124" s="458">
        <v>-8.0744335959354263E-2</v>
      </c>
      <c r="AS124" s="459" t="s">
        <v>104</v>
      </c>
      <c r="AT124" s="453" t="s">
        <v>104</v>
      </c>
      <c r="AU124" s="464" t="s">
        <v>331</v>
      </c>
      <c r="AV124" s="460" t="s">
        <v>36</v>
      </c>
      <c r="AW124" s="453" t="s">
        <v>1431</v>
      </c>
      <c r="BA124" s="464" t="str">
        <f>_xlfn.XLOOKUP(B124,'School List from APT'!A:A,'School List from APT'!C:C,"",FALSE)</f>
        <v>The Oratory Roman Catholic Primary School</v>
      </c>
    </row>
    <row r="125" spans="1:53" x14ac:dyDescent="0.25">
      <c r="A125" s="453" t="s">
        <v>333</v>
      </c>
      <c r="B125" s="453">
        <v>2436</v>
      </c>
      <c r="C125" s="453">
        <v>2436</v>
      </c>
      <c r="D125" s="453" t="s">
        <v>334</v>
      </c>
      <c r="E125" s="453"/>
      <c r="F125" s="454" t="s">
        <v>857</v>
      </c>
      <c r="G125" s="454" t="s">
        <v>36</v>
      </c>
      <c r="H125" s="451">
        <v>457803.03064944816</v>
      </c>
      <c r="I125" s="451">
        <v>0</v>
      </c>
      <c r="J125" s="455">
        <v>457803.03064944816</v>
      </c>
      <c r="K125" s="451">
        <v>18736.601923000067</v>
      </c>
      <c r="L125" s="451">
        <v>0</v>
      </c>
      <c r="M125" s="451">
        <v>0</v>
      </c>
      <c r="N125" s="451">
        <v>18736.601923000067</v>
      </c>
      <c r="O125" s="451">
        <v>0</v>
      </c>
      <c r="P125" s="451">
        <v>0</v>
      </c>
      <c r="Q125" s="451">
        <v>0</v>
      </c>
      <c r="R125" s="451">
        <v>0</v>
      </c>
      <c r="S125" s="451">
        <v>0</v>
      </c>
      <c r="T125" s="451">
        <v>18736.601923000067</v>
      </c>
      <c r="U125" s="451">
        <v>0</v>
      </c>
      <c r="V125" s="451">
        <v>476539.63257244823</v>
      </c>
      <c r="W125" s="451">
        <v>461972.95</v>
      </c>
      <c r="X125" s="451">
        <v>0</v>
      </c>
      <c r="Y125" s="451"/>
      <c r="Z125" s="451"/>
      <c r="AA125" s="456"/>
      <c r="AB125" s="451">
        <v>461972.95</v>
      </c>
      <c r="AC125" s="451">
        <v>14566.682572448219</v>
      </c>
      <c r="AD125" s="451">
        <v>20.393355601427505</v>
      </c>
      <c r="AE125" s="457">
        <v>14587.075928049646</v>
      </c>
      <c r="AF125" s="451">
        <v>-443215.95472139854</v>
      </c>
      <c r="AG125" s="451">
        <v>457803.03064944816</v>
      </c>
      <c r="AH125" s="451">
        <v>14566.682572448219</v>
      </c>
      <c r="AI125" s="451">
        <v>936.83009615000344</v>
      </c>
      <c r="AJ125" s="451">
        <v>20.393355601427505</v>
      </c>
      <c r="AK125" s="462"/>
      <c r="AL125" s="453" t="s">
        <v>1432</v>
      </c>
      <c r="AM125" s="451">
        <v>14587.075928049646</v>
      </c>
      <c r="AN125" s="453" t="s">
        <v>1432</v>
      </c>
      <c r="AO125" s="453">
        <v>144</v>
      </c>
      <c r="AP125" s="453">
        <v>2</v>
      </c>
      <c r="AQ125" s="458">
        <v>0.77853369506363468</v>
      </c>
      <c r="AR125" s="453"/>
      <c r="AS125" s="459" t="s">
        <v>104</v>
      </c>
      <c r="AT125" s="453" t="s">
        <v>104</v>
      </c>
      <c r="AU125" s="453" t="s">
        <v>333</v>
      </c>
      <c r="AV125" s="460" t="s">
        <v>36</v>
      </c>
      <c r="AW125" s="453" t="s">
        <v>1433</v>
      </c>
      <c r="BA125" s="464" t="str">
        <f>_xlfn.XLOOKUP(B125,'School List from APT'!A:A,'School List from APT'!C:C,"",FALSE)</f>
        <v/>
      </c>
    </row>
    <row r="126" spans="1:53" x14ac:dyDescent="0.25">
      <c r="A126" s="453" t="s">
        <v>335</v>
      </c>
      <c r="B126" s="453">
        <v>3351</v>
      </c>
      <c r="C126" s="453">
        <v>3351</v>
      </c>
      <c r="D126" s="453" t="s">
        <v>336</v>
      </c>
      <c r="E126" s="453" t="s">
        <v>83</v>
      </c>
      <c r="F126" s="454" t="s">
        <v>162</v>
      </c>
      <c r="G126" s="454" t="s">
        <v>36</v>
      </c>
      <c r="H126" s="451">
        <v>148842.53642013055</v>
      </c>
      <c r="I126" s="451">
        <v>0</v>
      </c>
      <c r="J126" s="455">
        <v>148842.53642013055</v>
      </c>
      <c r="K126" s="451">
        <v>1121524.049607839</v>
      </c>
      <c r="L126" s="451">
        <v>176704.625</v>
      </c>
      <c r="M126" s="451">
        <v>-1117.2519230769394</v>
      </c>
      <c r="N126" s="451">
        <v>1297111.4226847619</v>
      </c>
      <c r="O126" s="451">
        <v>7474.166666666667</v>
      </c>
      <c r="P126" s="451">
        <v>0</v>
      </c>
      <c r="Q126" s="451">
        <v>0</v>
      </c>
      <c r="R126" s="451">
        <v>0</v>
      </c>
      <c r="S126" s="451">
        <v>7474.166666666667</v>
      </c>
      <c r="T126" s="451">
        <v>1304585.5893514287</v>
      </c>
      <c r="U126" s="451">
        <v>0</v>
      </c>
      <c r="V126" s="451">
        <v>1453428.1257715593</v>
      </c>
      <c r="W126" s="451">
        <v>1287378.17</v>
      </c>
      <c r="X126" s="451">
        <v>0</v>
      </c>
      <c r="Y126" s="451"/>
      <c r="Z126" s="451"/>
      <c r="AA126" s="456"/>
      <c r="AB126" s="451">
        <v>1287378.17</v>
      </c>
      <c r="AC126" s="451">
        <v>166049.95577155938</v>
      </c>
      <c r="AD126" s="451">
        <v>208.37955098818276</v>
      </c>
      <c r="AE126" s="457">
        <v>166258.33532254756</v>
      </c>
      <c r="AF126" s="451">
        <v>17415.798902417009</v>
      </c>
      <c r="AG126" s="451">
        <v>148842.53642013055</v>
      </c>
      <c r="AH126" s="451">
        <v>148842.53642013055</v>
      </c>
      <c r="AI126" s="451">
        <v>64855.571134238096</v>
      </c>
      <c r="AJ126" s="451">
        <v>208.37955098818276</v>
      </c>
      <c r="AK126" s="462"/>
      <c r="AL126" s="453" t="s">
        <v>108</v>
      </c>
      <c r="AM126" s="451">
        <v>166258.33532254756</v>
      </c>
      <c r="AN126" s="453" t="s">
        <v>108</v>
      </c>
      <c r="AO126" s="453">
        <v>100</v>
      </c>
      <c r="AP126" s="453">
        <v>81</v>
      </c>
      <c r="AQ126" s="458">
        <v>0.12744149305313304</v>
      </c>
      <c r="AS126" s="459" t="s">
        <v>104</v>
      </c>
      <c r="AT126" s="453" t="s">
        <v>104</v>
      </c>
      <c r="AU126" s="464" t="s">
        <v>335</v>
      </c>
      <c r="AV126" s="460" t="s">
        <v>36</v>
      </c>
      <c r="AW126" s="453" t="s">
        <v>1430</v>
      </c>
      <c r="BA126" s="464" t="str">
        <f>_xlfn.XLOOKUP(B126,'School List from APT'!A:A,'School List from APT'!C:C,"",FALSE)</f>
        <v>Our Lady and St Rose of Lima Catholic Primary School</v>
      </c>
    </row>
    <row r="127" spans="1:53" x14ac:dyDescent="0.25">
      <c r="A127" s="453" t="s">
        <v>337</v>
      </c>
      <c r="B127" s="453">
        <v>3328</v>
      </c>
      <c r="C127" s="453">
        <v>3328</v>
      </c>
      <c r="D127" s="453" t="s">
        <v>338</v>
      </c>
      <c r="E127" s="453" t="s">
        <v>83</v>
      </c>
      <c r="F127" s="454" t="s">
        <v>162</v>
      </c>
      <c r="G127" s="454" t="s">
        <v>36</v>
      </c>
      <c r="H127" s="451">
        <v>258525.73885878557</v>
      </c>
      <c r="I127" s="451">
        <v>0</v>
      </c>
      <c r="J127" s="455">
        <v>258525.73885878557</v>
      </c>
      <c r="K127" s="451">
        <v>1057154.8945214441</v>
      </c>
      <c r="L127" s="451">
        <v>130634.875</v>
      </c>
      <c r="M127" s="451">
        <v>-2165.8214285714421</v>
      </c>
      <c r="N127" s="451">
        <v>1185623.9480928727</v>
      </c>
      <c r="O127" s="451">
        <v>40447.608399999997</v>
      </c>
      <c r="P127" s="451">
        <v>0</v>
      </c>
      <c r="Q127" s="451">
        <v>0</v>
      </c>
      <c r="R127" s="451">
        <v>0</v>
      </c>
      <c r="S127" s="451">
        <v>40447.608399999997</v>
      </c>
      <c r="T127" s="451">
        <v>1226071.5564928728</v>
      </c>
      <c r="U127" s="451">
        <v>0</v>
      </c>
      <c r="V127" s="451">
        <v>1484597.2953516582</v>
      </c>
      <c r="W127" s="451">
        <v>1253661.1100000001</v>
      </c>
      <c r="X127" s="451">
        <v>0</v>
      </c>
      <c r="Y127" s="451"/>
      <c r="Z127" s="451"/>
      <c r="AA127" s="456"/>
      <c r="AB127" s="451">
        <v>1253661.1100000001</v>
      </c>
      <c r="AC127" s="451">
        <v>230936.18535165815</v>
      </c>
      <c r="AD127" s="451">
        <v>323.31065949232141</v>
      </c>
      <c r="AE127" s="457">
        <v>231259.49601115048</v>
      </c>
      <c r="AF127" s="451">
        <v>-27266.242847635091</v>
      </c>
      <c r="AG127" s="451">
        <v>258525.73885878557</v>
      </c>
      <c r="AH127" s="451">
        <v>230936.18535165815</v>
      </c>
      <c r="AI127" s="451">
        <v>59281.197404643637</v>
      </c>
      <c r="AJ127" s="451">
        <v>323.31065949232141</v>
      </c>
      <c r="AK127" s="462"/>
      <c r="AL127" s="453" t="s">
        <v>108</v>
      </c>
      <c r="AM127" s="451">
        <v>231259.49601115048</v>
      </c>
      <c r="AN127" s="453" t="s">
        <v>108</v>
      </c>
      <c r="AO127" s="453">
        <v>85</v>
      </c>
      <c r="AP127" s="453">
        <v>44</v>
      </c>
      <c r="AQ127" s="458">
        <v>0.18861827010542415</v>
      </c>
      <c r="AS127" s="459" t="s">
        <v>104</v>
      </c>
      <c r="AT127" s="453" t="s">
        <v>104</v>
      </c>
      <c r="AU127" s="464" t="s">
        <v>337</v>
      </c>
      <c r="AV127" s="460" t="s">
        <v>36</v>
      </c>
      <c r="AW127" s="453" t="s">
        <v>1430</v>
      </c>
      <c r="BA127" s="464" t="str">
        <f>_xlfn.XLOOKUP(B127,'School List from APT'!A:A,'School List from APT'!C:C,"",FALSE)</f>
        <v>Our Lady of Lourdes Catholic Primary School</v>
      </c>
    </row>
    <row r="128" spans="1:53" x14ac:dyDescent="0.25">
      <c r="A128" s="453" t="s">
        <v>339</v>
      </c>
      <c r="B128" s="453">
        <v>3357</v>
      </c>
      <c r="C128" s="453">
        <v>3357</v>
      </c>
      <c r="D128" s="453" t="s">
        <v>340</v>
      </c>
      <c r="E128" s="453"/>
      <c r="F128" s="454" t="s">
        <v>857</v>
      </c>
      <c r="G128" s="454" t="s">
        <v>36</v>
      </c>
      <c r="H128" s="451">
        <v>155113.12528420845</v>
      </c>
      <c r="I128" s="454">
        <v>0</v>
      </c>
      <c r="J128" s="454">
        <v>155113.12528420845</v>
      </c>
      <c r="K128" s="454">
        <v>2737.4523099999642</v>
      </c>
      <c r="L128" s="454">
        <v>0</v>
      </c>
      <c r="M128" s="451">
        <v>0</v>
      </c>
      <c r="N128" s="454">
        <v>2737.4523099999642</v>
      </c>
      <c r="O128" s="454">
        <v>0</v>
      </c>
      <c r="P128" s="454">
        <v>0</v>
      </c>
      <c r="Q128" s="454">
        <v>0</v>
      </c>
      <c r="R128" s="454">
        <v>0</v>
      </c>
      <c r="S128" s="454">
        <v>0</v>
      </c>
      <c r="T128" s="454">
        <v>2737.4523099999642</v>
      </c>
      <c r="U128" s="451">
        <v>0</v>
      </c>
      <c r="V128" s="454">
        <v>157850.57759420841</v>
      </c>
      <c r="W128" s="451">
        <v>156811.03</v>
      </c>
      <c r="X128" s="451">
        <v>0</v>
      </c>
      <c r="Y128" s="454"/>
      <c r="Z128" s="454"/>
      <c r="AA128" s="454"/>
      <c r="AB128" s="454">
        <v>156811.03</v>
      </c>
      <c r="AC128" s="454">
        <v>1039.5475942084158</v>
      </c>
      <c r="AD128" s="454">
        <v>1.4553666318917822</v>
      </c>
      <c r="AE128" s="454">
        <v>1041.0029608403077</v>
      </c>
      <c r="AF128" s="454">
        <v>-154072.12232336815</v>
      </c>
      <c r="AG128" s="454">
        <v>155113.12528420845</v>
      </c>
      <c r="AH128" s="454">
        <v>1039.5475942084158</v>
      </c>
      <c r="AI128" s="454">
        <v>136.8726154999982</v>
      </c>
      <c r="AJ128" s="454">
        <v>1.4553666318917822</v>
      </c>
      <c r="AK128" s="454"/>
      <c r="AL128" s="454" t="s">
        <v>1432</v>
      </c>
      <c r="AM128" s="454">
        <v>1041.0029608403077</v>
      </c>
      <c r="AN128" s="454" t="s">
        <v>1432</v>
      </c>
      <c r="AO128" s="454">
        <v>151</v>
      </c>
      <c r="AP128" s="454">
        <v>8</v>
      </c>
      <c r="AQ128" s="454">
        <v>0.38028167907711286</v>
      </c>
      <c r="AR128" s="454"/>
      <c r="AS128" s="454" t="s">
        <v>104</v>
      </c>
      <c r="AT128" s="454" t="s">
        <v>104</v>
      </c>
      <c r="AU128" s="454" t="s">
        <v>339</v>
      </c>
      <c r="AV128" s="454" t="s">
        <v>36</v>
      </c>
      <c r="AW128" s="454" t="s">
        <v>1433</v>
      </c>
      <c r="BA128" s="464" t="str">
        <f>_xlfn.XLOOKUP(B128,'School List from APT'!A:A,'School List from APT'!C:C,"",FALSE)</f>
        <v>Our Lady's Catholic Primary School</v>
      </c>
    </row>
    <row r="129" spans="1:53" x14ac:dyDescent="0.25">
      <c r="A129" s="453" t="s">
        <v>341</v>
      </c>
      <c r="B129" s="453">
        <v>2021</v>
      </c>
      <c r="C129" s="453">
        <v>2021</v>
      </c>
      <c r="D129" s="453" t="s">
        <v>342</v>
      </c>
      <c r="E129" s="453" t="s">
        <v>83</v>
      </c>
      <c r="F129" s="454" t="s">
        <v>162</v>
      </c>
      <c r="G129" s="454" t="s">
        <v>36</v>
      </c>
      <c r="H129" s="451">
        <v>468109.60158637929</v>
      </c>
      <c r="I129" s="451">
        <v>0</v>
      </c>
      <c r="J129" s="455">
        <v>468109.60158637929</v>
      </c>
      <c r="K129" s="451">
        <v>1855066.70360926</v>
      </c>
      <c r="L129" s="451">
        <v>371753.875</v>
      </c>
      <c r="M129" s="451">
        <v>-4008.75</v>
      </c>
      <c r="N129" s="451">
        <v>2222811.8286092598</v>
      </c>
      <c r="O129" s="451">
        <v>49645.083333333328</v>
      </c>
      <c r="P129" s="451">
        <v>0</v>
      </c>
      <c r="Q129" s="451">
        <v>0</v>
      </c>
      <c r="R129" s="451">
        <v>0</v>
      </c>
      <c r="S129" s="451">
        <v>49645.083333333328</v>
      </c>
      <c r="T129" s="451">
        <v>2272456.9119425933</v>
      </c>
      <c r="U129" s="451">
        <v>0</v>
      </c>
      <c r="V129" s="451">
        <v>2740566.5135289724</v>
      </c>
      <c r="W129" s="451">
        <v>2368148.12</v>
      </c>
      <c r="X129" s="451">
        <v>-13987.4</v>
      </c>
      <c r="Y129" s="451"/>
      <c r="Z129" s="451"/>
      <c r="AA129" s="456"/>
      <c r="AB129" s="451">
        <v>2354160.7200000002</v>
      </c>
      <c r="AC129" s="451">
        <v>386405.79352897219</v>
      </c>
      <c r="AD129" s="451">
        <v>540.96811094056102</v>
      </c>
      <c r="AE129" s="457">
        <v>386946.76163991273</v>
      </c>
      <c r="AF129" s="451">
        <v>-81162.839946466556</v>
      </c>
      <c r="AG129" s="451">
        <v>468109.60158637929</v>
      </c>
      <c r="AH129" s="451">
        <v>386405.79352897219</v>
      </c>
      <c r="AI129" s="451">
        <v>111140.591430463</v>
      </c>
      <c r="AJ129" s="451">
        <v>540.96811094056102</v>
      </c>
      <c r="AK129" s="462"/>
      <c r="AL129" s="453" t="s">
        <v>108</v>
      </c>
      <c r="AM129" s="451">
        <v>386946.76163991273</v>
      </c>
      <c r="AN129" s="453" t="s">
        <v>108</v>
      </c>
      <c r="AO129" s="453">
        <v>39</v>
      </c>
      <c r="AP129" s="453">
        <v>50</v>
      </c>
      <c r="AQ129" s="458">
        <v>0.17027683103972877</v>
      </c>
      <c r="AS129" s="459" t="s">
        <v>104</v>
      </c>
      <c r="AT129" s="453" t="s">
        <v>104</v>
      </c>
      <c r="AU129" s="464" t="s">
        <v>341</v>
      </c>
      <c r="AV129" s="460" t="s">
        <v>36</v>
      </c>
      <c r="AW129" s="453" t="s">
        <v>1430</v>
      </c>
      <c r="BA129" s="464" t="str">
        <f>_xlfn.XLOOKUP(B129,'School List from APT'!A:A,'School List from APT'!C:C,"",FALSE)</f>
        <v>Paganel Primary School</v>
      </c>
    </row>
    <row r="130" spans="1:53" x14ac:dyDescent="0.25">
      <c r="A130" s="453" t="s">
        <v>343</v>
      </c>
      <c r="B130" s="453">
        <v>2149</v>
      </c>
      <c r="C130" s="453">
        <v>2149</v>
      </c>
      <c r="D130" s="453" t="s">
        <v>344</v>
      </c>
      <c r="E130" s="453" t="s">
        <v>83</v>
      </c>
      <c r="F130" s="454" t="s">
        <v>162</v>
      </c>
      <c r="G130" s="454" t="s">
        <v>36</v>
      </c>
      <c r="H130" s="451">
        <v>383747.400175786</v>
      </c>
      <c r="I130" s="451">
        <v>0</v>
      </c>
      <c r="J130" s="455">
        <v>383747.400175786</v>
      </c>
      <c r="K130" s="451">
        <v>2049646.5776440557</v>
      </c>
      <c r="L130" s="451">
        <v>323807.75</v>
      </c>
      <c r="M130" s="451">
        <v>-14551.619999999995</v>
      </c>
      <c r="N130" s="451">
        <v>2358902.7076440556</v>
      </c>
      <c r="O130" s="451">
        <v>154913.92845030001</v>
      </c>
      <c r="P130" s="451">
        <v>0</v>
      </c>
      <c r="Q130" s="451">
        <v>0</v>
      </c>
      <c r="R130" s="451">
        <v>0</v>
      </c>
      <c r="S130" s="451">
        <v>154913.92845030001</v>
      </c>
      <c r="T130" s="451">
        <v>2513816.6360943555</v>
      </c>
      <c r="U130" s="451">
        <v>0</v>
      </c>
      <c r="V130" s="451">
        <v>2897564.0362701416</v>
      </c>
      <c r="W130" s="451">
        <v>2555961.02</v>
      </c>
      <c r="X130" s="451">
        <v>400</v>
      </c>
      <c r="Y130" s="451"/>
      <c r="Z130" s="451"/>
      <c r="AA130" s="456"/>
      <c r="AB130" s="451">
        <v>2556361.02</v>
      </c>
      <c r="AC130" s="451">
        <v>341203.01627014158</v>
      </c>
      <c r="AD130" s="451">
        <v>477.6842227781982</v>
      </c>
      <c r="AE130" s="457">
        <v>341680.70049291977</v>
      </c>
      <c r="AF130" s="451">
        <v>-42066.699682866223</v>
      </c>
      <c r="AG130" s="451">
        <v>383747.400175786</v>
      </c>
      <c r="AH130" s="451">
        <v>341203.01627014158</v>
      </c>
      <c r="AI130" s="451">
        <v>117945.13538220279</v>
      </c>
      <c r="AJ130" s="451">
        <v>477.6842227781982</v>
      </c>
      <c r="AK130" s="462"/>
      <c r="AL130" s="453" t="s">
        <v>108</v>
      </c>
      <c r="AM130" s="451">
        <v>341680.70049291977</v>
      </c>
      <c r="AN130" s="453" t="s">
        <v>108</v>
      </c>
      <c r="AO130" s="453">
        <v>50</v>
      </c>
      <c r="AP130" s="453">
        <v>70</v>
      </c>
      <c r="AQ130" s="458">
        <v>0.13592109129478083</v>
      </c>
      <c r="AS130" s="459" t="s">
        <v>104</v>
      </c>
      <c r="AT130" s="453" t="s">
        <v>104</v>
      </c>
      <c r="AU130" s="464" t="s">
        <v>343</v>
      </c>
      <c r="AV130" s="460" t="s">
        <v>36</v>
      </c>
      <c r="AW130" s="453" t="s">
        <v>1430</v>
      </c>
      <c r="BA130" s="464" t="str">
        <f>_xlfn.XLOOKUP(B130,'School List from APT'!A:A,'School List from APT'!C:C,"",FALSE)</f>
        <v>Paget Primary School</v>
      </c>
    </row>
    <row r="131" spans="1:53" x14ac:dyDescent="0.25">
      <c r="A131" s="453" t="s">
        <v>345</v>
      </c>
      <c r="B131" s="453">
        <v>2150</v>
      </c>
      <c r="C131" s="453">
        <v>2150</v>
      </c>
      <c r="D131" s="453" t="s">
        <v>346</v>
      </c>
      <c r="E131" s="453" t="s">
        <v>83</v>
      </c>
      <c r="F131" s="454" t="s">
        <v>162</v>
      </c>
      <c r="G131" s="454" t="s">
        <v>36</v>
      </c>
      <c r="H131" s="451">
        <v>-38322.119269301184</v>
      </c>
      <c r="I131" s="451">
        <v>0</v>
      </c>
      <c r="J131" s="455">
        <v>-38322.119269301184</v>
      </c>
      <c r="K131" s="451">
        <v>1975182.5681559383</v>
      </c>
      <c r="L131" s="451">
        <v>282493.625</v>
      </c>
      <c r="M131" s="451">
        <v>-10718.531249999985</v>
      </c>
      <c r="N131" s="451">
        <v>2246957.6619059383</v>
      </c>
      <c r="O131" s="451">
        <v>75125.160416666666</v>
      </c>
      <c r="P131" s="451">
        <v>0</v>
      </c>
      <c r="Q131" s="451">
        <v>0</v>
      </c>
      <c r="R131" s="451">
        <v>0</v>
      </c>
      <c r="S131" s="451">
        <v>75125.160416666666</v>
      </c>
      <c r="T131" s="451">
        <v>2322082.8223226052</v>
      </c>
      <c r="U131" s="451">
        <v>0</v>
      </c>
      <c r="V131" s="451">
        <v>2283760.703053304</v>
      </c>
      <c r="W131" s="451">
        <v>2480299.2200000002</v>
      </c>
      <c r="X131" s="451">
        <v>0</v>
      </c>
      <c r="Y131" s="451"/>
      <c r="Z131" s="451"/>
      <c r="AA131" s="456"/>
      <c r="AB131" s="451">
        <v>2480299.2200000002</v>
      </c>
      <c r="AC131" s="451">
        <v>-196538.51694669621</v>
      </c>
      <c r="AD131" s="451">
        <v>0</v>
      </c>
      <c r="AE131" s="457">
        <v>-196538.51694669621</v>
      </c>
      <c r="AF131" s="451">
        <v>-158216.39767739503</v>
      </c>
      <c r="AG131" s="451">
        <v>-38322.119269301184</v>
      </c>
      <c r="AH131" s="451">
        <v>0</v>
      </c>
      <c r="AI131" s="451">
        <v>0</v>
      </c>
      <c r="AJ131" s="451">
        <v>0</v>
      </c>
      <c r="AK131" s="462"/>
      <c r="AL131" s="453" t="s">
        <v>103</v>
      </c>
      <c r="AM131" s="451">
        <v>-196538.51694669621</v>
      </c>
      <c r="AN131" s="453" t="s">
        <v>103</v>
      </c>
      <c r="AO131" s="453">
        <v>166</v>
      </c>
      <c r="AP131" s="453">
        <v>164</v>
      </c>
      <c r="AQ131" s="458">
        <v>-8.4638891885050624E-2</v>
      </c>
      <c r="AS131" s="459" t="s">
        <v>104</v>
      </c>
      <c r="AT131" s="453" t="s">
        <v>104</v>
      </c>
      <c r="AU131" s="464" t="s">
        <v>345</v>
      </c>
      <c r="AV131" s="460" t="s">
        <v>36</v>
      </c>
      <c r="AW131" s="453" t="s">
        <v>1430</v>
      </c>
      <c r="BA131" s="464" t="str">
        <f>_xlfn.XLOOKUP(B131,'School List from APT'!A:A,'School List from APT'!C:C,"",FALSE)</f>
        <v>Park Hill Primary School</v>
      </c>
    </row>
    <row r="132" spans="1:53" x14ac:dyDescent="0.25">
      <c r="A132" s="453" t="s">
        <v>347</v>
      </c>
      <c r="B132" s="453">
        <v>2425</v>
      </c>
      <c r="C132" s="453">
        <v>2425</v>
      </c>
      <c r="D132" s="453" t="s">
        <v>348</v>
      </c>
      <c r="F132" s="454" t="s">
        <v>162</v>
      </c>
      <c r="G132" s="454" t="s">
        <v>36</v>
      </c>
      <c r="H132" s="451">
        <v>94136.004825160941</v>
      </c>
      <c r="I132" s="451">
        <v>0</v>
      </c>
      <c r="J132" s="455">
        <v>94136.004825160941</v>
      </c>
      <c r="K132" s="451">
        <v>960098.67544636363</v>
      </c>
      <c r="L132" s="451">
        <v>115999</v>
      </c>
      <c r="M132" s="451">
        <v>0</v>
      </c>
      <c r="N132" s="451">
        <v>1076097.6754463636</v>
      </c>
      <c r="O132" s="451">
        <v>2090</v>
      </c>
      <c r="P132" s="451">
        <v>0</v>
      </c>
      <c r="Q132" s="451">
        <v>0</v>
      </c>
      <c r="R132" s="451">
        <v>0</v>
      </c>
      <c r="S132" s="451">
        <v>2090</v>
      </c>
      <c r="T132" s="451">
        <v>1078187.6754463636</v>
      </c>
      <c r="U132" s="451">
        <v>0</v>
      </c>
      <c r="V132" s="451">
        <v>1172323.6802715245</v>
      </c>
      <c r="W132" s="451">
        <v>1137408.25</v>
      </c>
      <c r="X132" s="451">
        <v>0</v>
      </c>
      <c r="Y132" s="451"/>
      <c r="Z132" s="451"/>
      <c r="AA132" s="456"/>
      <c r="AB132" s="451">
        <v>1137408.25</v>
      </c>
      <c r="AC132" s="451">
        <v>34915.43027152447</v>
      </c>
      <c r="AD132" s="451">
        <v>48.881602380134261</v>
      </c>
      <c r="AE132" s="457">
        <v>34964.311873904604</v>
      </c>
      <c r="AF132" s="451">
        <v>-59171.692951256337</v>
      </c>
      <c r="AG132" s="451">
        <v>94136.004825160941</v>
      </c>
      <c r="AH132" s="451">
        <v>34915.43027152447</v>
      </c>
      <c r="AI132" s="451">
        <v>53804.883772318186</v>
      </c>
      <c r="AJ132" s="451">
        <v>48.881602380134261</v>
      </c>
      <c r="AK132" s="462"/>
      <c r="AL132" s="453" t="s">
        <v>108</v>
      </c>
      <c r="AM132" s="451">
        <v>34964.311873904604</v>
      </c>
      <c r="AN132" s="453" t="s">
        <v>108</v>
      </c>
      <c r="AO132" s="453">
        <v>140</v>
      </c>
      <c r="AP132" s="453">
        <v>138</v>
      </c>
      <c r="AQ132" s="458">
        <v>3.2428780879385936E-2</v>
      </c>
      <c r="AS132" s="459" t="s">
        <v>104</v>
      </c>
      <c r="AT132" s="453" t="s">
        <v>104</v>
      </c>
      <c r="AU132" s="464" t="s">
        <v>347</v>
      </c>
      <c r="AV132" s="460" t="s">
        <v>36</v>
      </c>
      <c r="AW132" s="453" t="s">
        <v>1430</v>
      </c>
      <c r="BA132" s="464" t="str">
        <f>_xlfn.XLOOKUP(B132,'School List from APT'!A:A,'School List from APT'!C:C,"",FALSE)</f>
        <v>Penns Primary School</v>
      </c>
    </row>
    <row r="133" spans="1:53" x14ac:dyDescent="0.25">
      <c r="A133" s="453" t="s">
        <v>349</v>
      </c>
      <c r="B133" s="453">
        <v>2017</v>
      </c>
      <c r="C133" s="453">
        <v>2017</v>
      </c>
      <c r="D133" s="453" t="s">
        <v>350</v>
      </c>
      <c r="F133" s="454" t="s">
        <v>162</v>
      </c>
      <c r="G133" s="454" t="s">
        <v>36</v>
      </c>
      <c r="H133" s="451">
        <v>-39935.8220880921</v>
      </c>
      <c r="I133" s="451">
        <v>0</v>
      </c>
      <c r="J133" s="455">
        <v>-39935.8220880921</v>
      </c>
      <c r="K133" s="451">
        <v>1466752.9527625369</v>
      </c>
      <c r="L133" s="451">
        <v>217713.25</v>
      </c>
      <c r="M133" s="451">
        <v>0</v>
      </c>
      <c r="N133" s="451">
        <v>1684466.2027625369</v>
      </c>
      <c r="O133" s="451">
        <v>123602.90966666667</v>
      </c>
      <c r="P133" s="451">
        <v>0</v>
      </c>
      <c r="Q133" s="451">
        <v>0</v>
      </c>
      <c r="R133" s="451">
        <v>0</v>
      </c>
      <c r="S133" s="451">
        <v>123602.90966666667</v>
      </c>
      <c r="T133" s="451">
        <v>1808069.1124292037</v>
      </c>
      <c r="U133" s="451">
        <v>0</v>
      </c>
      <c r="V133" s="451">
        <v>1768133.2903411116</v>
      </c>
      <c r="W133" s="451">
        <v>1776343.85</v>
      </c>
      <c r="X133" s="451">
        <v>-17200.830000000002</v>
      </c>
      <c r="Y133" s="451"/>
      <c r="Z133" s="451"/>
      <c r="AA133" s="456"/>
      <c r="AB133" s="451">
        <v>1759143.02</v>
      </c>
      <c r="AC133" s="451">
        <v>8990.2703411115799</v>
      </c>
      <c r="AD133" s="451">
        <v>0</v>
      </c>
      <c r="AE133" s="457">
        <v>8990.2703411115799</v>
      </c>
      <c r="AF133" s="451">
        <v>48926.09242920368</v>
      </c>
      <c r="AG133" s="451">
        <v>-39935.8220880921</v>
      </c>
      <c r="AH133" s="451">
        <v>0</v>
      </c>
      <c r="AI133" s="451">
        <v>0</v>
      </c>
      <c r="AJ133" s="451">
        <v>0</v>
      </c>
      <c r="AK133" s="462"/>
      <c r="AL133" s="453" t="s">
        <v>108</v>
      </c>
      <c r="AM133" s="451">
        <v>8990.2703411115799</v>
      </c>
      <c r="AN133" s="453" t="s">
        <v>108</v>
      </c>
      <c r="AO133" s="453">
        <v>146</v>
      </c>
      <c r="AP133" s="453">
        <v>150</v>
      </c>
      <c r="AQ133" s="458">
        <v>4.9723045868710399E-3</v>
      </c>
      <c r="AS133" s="459" t="s">
        <v>104</v>
      </c>
      <c r="AT133" s="453" t="s">
        <v>104</v>
      </c>
      <c r="AU133" s="464" t="s">
        <v>349</v>
      </c>
      <c r="AV133" s="460" t="s">
        <v>36</v>
      </c>
      <c r="AW133" s="453" t="s">
        <v>1430</v>
      </c>
      <c r="BA133" s="464" t="str">
        <f>_xlfn.XLOOKUP(B133,'School List from APT'!A:A,'School List from APT'!C:C,"",FALSE)</f>
        <v>Beeches Infant School</v>
      </c>
    </row>
    <row r="134" spans="1:53" x14ac:dyDescent="0.25">
      <c r="A134" s="453" t="s">
        <v>351</v>
      </c>
      <c r="B134" s="453">
        <v>2016</v>
      </c>
      <c r="C134" s="453">
        <v>2016</v>
      </c>
      <c r="D134" s="453" t="s">
        <v>352</v>
      </c>
      <c r="F134" s="454" t="s">
        <v>162</v>
      </c>
      <c r="G134" s="454" t="s">
        <v>36</v>
      </c>
      <c r="H134" s="451">
        <v>387234.38283907424</v>
      </c>
      <c r="I134" s="451">
        <v>0</v>
      </c>
      <c r="J134" s="455">
        <v>387234.38283907424</v>
      </c>
      <c r="K134" s="451">
        <v>1830039.4220627856</v>
      </c>
      <c r="L134" s="451">
        <v>205505.75</v>
      </c>
      <c r="M134" s="451">
        <v>0</v>
      </c>
      <c r="N134" s="451">
        <v>2035545.1720627856</v>
      </c>
      <c r="O134" s="451">
        <v>29615.789499999999</v>
      </c>
      <c r="P134" s="451">
        <v>0</v>
      </c>
      <c r="Q134" s="451">
        <v>0</v>
      </c>
      <c r="R134" s="451">
        <v>0</v>
      </c>
      <c r="S134" s="451">
        <v>29615.789499999999</v>
      </c>
      <c r="T134" s="451">
        <v>2065160.9615627856</v>
      </c>
      <c r="U134" s="451">
        <v>0</v>
      </c>
      <c r="V134" s="451">
        <v>2452395.3444018597</v>
      </c>
      <c r="W134" s="451">
        <v>2113022.34</v>
      </c>
      <c r="X134" s="451">
        <v>-7191.85</v>
      </c>
      <c r="Y134" s="451"/>
      <c r="Z134" s="451"/>
      <c r="AA134" s="456"/>
      <c r="AB134" s="451">
        <v>2105830.4899999998</v>
      </c>
      <c r="AC134" s="451">
        <v>346564.85440185992</v>
      </c>
      <c r="AD134" s="451">
        <v>485.19079616260387</v>
      </c>
      <c r="AE134" s="457">
        <v>347050.0451980225</v>
      </c>
      <c r="AF134" s="451">
        <v>-40184.337641051738</v>
      </c>
      <c r="AG134" s="451">
        <v>387234.38283907424</v>
      </c>
      <c r="AH134" s="451">
        <v>346564.85440185992</v>
      </c>
      <c r="AI134" s="451">
        <v>101777.25860313929</v>
      </c>
      <c r="AJ134" s="451">
        <v>485.19079616260387</v>
      </c>
      <c r="AK134" s="462"/>
      <c r="AL134" s="453" t="s">
        <v>108</v>
      </c>
      <c r="AM134" s="451">
        <v>347050.0451980225</v>
      </c>
      <c r="AN134" s="453" t="s">
        <v>108</v>
      </c>
      <c r="AO134" s="453">
        <v>46</v>
      </c>
      <c r="AP134" s="453">
        <v>51</v>
      </c>
      <c r="AQ134" s="458">
        <v>0.16804987681705769</v>
      </c>
      <c r="AS134" s="459" t="s">
        <v>104</v>
      </c>
      <c r="AT134" s="453" t="s">
        <v>104</v>
      </c>
      <c r="AU134" s="464" t="s">
        <v>351</v>
      </c>
      <c r="AV134" s="460" t="s">
        <v>36</v>
      </c>
      <c r="AW134" s="453" t="s">
        <v>1430</v>
      </c>
      <c r="BA134" s="464" t="str">
        <f>_xlfn.XLOOKUP(B134,'School List from APT'!A:A,'School List from APT'!C:C,"",FALSE)</f>
        <v>Beeches Junior School</v>
      </c>
    </row>
    <row r="135" spans="1:53" x14ac:dyDescent="0.25">
      <c r="A135" s="453" t="s">
        <v>353</v>
      </c>
      <c r="B135" s="453">
        <v>2097</v>
      </c>
      <c r="C135" s="453">
        <v>2097</v>
      </c>
      <c r="D135" s="453" t="s">
        <v>354</v>
      </c>
      <c r="E135" s="453" t="s">
        <v>83</v>
      </c>
      <c r="F135" s="454" t="s">
        <v>162</v>
      </c>
      <c r="G135" s="454" t="s">
        <v>107</v>
      </c>
      <c r="H135" s="451">
        <v>453840.48991872021</v>
      </c>
      <c r="I135" s="451"/>
      <c r="J135" s="455">
        <v>453840.48991872021</v>
      </c>
      <c r="K135" s="451">
        <v>1361280.1825934269</v>
      </c>
      <c r="L135" s="451">
        <v>209032.75</v>
      </c>
      <c r="M135" s="451">
        <v>-3772.1249999999854</v>
      </c>
      <c r="N135" s="451">
        <v>1566540.8075934269</v>
      </c>
      <c r="O135" s="451">
        <v>30432.331333333335</v>
      </c>
      <c r="P135" s="451">
        <v>0</v>
      </c>
      <c r="Q135" s="451">
        <v>0</v>
      </c>
      <c r="R135" s="451">
        <v>0</v>
      </c>
      <c r="S135" s="451">
        <v>30432.331333333335</v>
      </c>
      <c r="T135" s="451">
        <v>1596973.1389267603</v>
      </c>
      <c r="U135" s="451">
        <v>0</v>
      </c>
      <c r="V135" s="451">
        <v>2050813.6288454805</v>
      </c>
      <c r="W135" s="451">
        <v>1705561.07</v>
      </c>
      <c r="X135" s="451">
        <v>0</v>
      </c>
      <c r="Y135" s="451"/>
      <c r="Z135" s="451"/>
      <c r="AA135" s="456"/>
      <c r="AB135" s="451">
        <v>1705561.07</v>
      </c>
      <c r="AC135" s="451">
        <v>345252.55884548044</v>
      </c>
      <c r="AD135" s="451">
        <v>0</v>
      </c>
      <c r="AE135" s="457">
        <v>345252.55884548044</v>
      </c>
      <c r="AF135" s="451">
        <v>-108587.93107323977</v>
      </c>
      <c r="AG135" s="451">
        <v>453840.48991872021</v>
      </c>
      <c r="AH135" s="451">
        <v>0</v>
      </c>
      <c r="AI135" s="451">
        <v>0</v>
      </c>
      <c r="AJ135" s="451">
        <v>0</v>
      </c>
      <c r="AK135" s="462"/>
      <c r="AL135" s="453" t="s">
        <v>108</v>
      </c>
      <c r="AM135" s="451">
        <v>345252.55884548044</v>
      </c>
      <c r="AN135" s="453" t="s">
        <v>108</v>
      </c>
      <c r="AO135" s="453">
        <v>47</v>
      </c>
      <c r="AP135" s="453">
        <v>26</v>
      </c>
      <c r="AQ135" s="458">
        <v>0.21619183844100603</v>
      </c>
      <c r="AS135" s="459" t="s">
        <v>104</v>
      </c>
      <c r="AT135" s="453" t="s">
        <v>109</v>
      </c>
      <c r="AU135" s="464" t="s">
        <v>353</v>
      </c>
      <c r="AV135" s="460" t="s">
        <v>36</v>
      </c>
      <c r="AW135" s="453" t="s">
        <v>1430</v>
      </c>
      <c r="BA135" s="464" t="str">
        <f>_xlfn.XLOOKUP(B135,'School List from APT'!A:A,'School List from APT'!C:C,"",FALSE)</f>
        <v>Story Wood School</v>
      </c>
    </row>
    <row r="136" spans="1:53" x14ac:dyDescent="0.25">
      <c r="A136" s="453" t="s">
        <v>355</v>
      </c>
      <c r="B136" s="453">
        <v>2157</v>
      </c>
      <c r="C136" s="453">
        <v>2157</v>
      </c>
      <c r="D136" s="453" t="s">
        <v>356</v>
      </c>
      <c r="E136" s="453" t="s">
        <v>83</v>
      </c>
      <c r="F136" s="454" t="s">
        <v>162</v>
      </c>
      <c r="G136" s="454" t="s">
        <v>36</v>
      </c>
      <c r="H136" s="451">
        <v>57691.322789539081</v>
      </c>
      <c r="I136" s="451">
        <v>0</v>
      </c>
      <c r="J136" s="455">
        <v>57691.322789539081</v>
      </c>
      <c r="K136" s="451">
        <v>1807988.5641459394</v>
      </c>
      <c r="L136" s="451">
        <v>233588.25</v>
      </c>
      <c r="M136" s="451">
        <v>377.39999999999418</v>
      </c>
      <c r="N136" s="451">
        <v>2041954.2141459393</v>
      </c>
      <c r="O136" s="451">
        <v>1600</v>
      </c>
      <c r="P136" s="451">
        <v>0</v>
      </c>
      <c r="Q136" s="451">
        <v>0</v>
      </c>
      <c r="R136" s="451">
        <v>0</v>
      </c>
      <c r="S136" s="451">
        <v>1600</v>
      </c>
      <c r="T136" s="451">
        <v>2043554.2141459393</v>
      </c>
      <c r="U136" s="451">
        <v>0</v>
      </c>
      <c r="V136" s="451">
        <v>2101245.5369354784</v>
      </c>
      <c r="W136" s="451">
        <v>2134159.63</v>
      </c>
      <c r="X136" s="451">
        <v>-4752</v>
      </c>
      <c r="Y136" s="451"/>
      <c r="Z136" s="451"/>
      <c r="AA136" s="456"/>
      <c r="AB136" s="451">
        <v>2129407.63</v>
      </c>
      <c r="AC136" s="451">
        <v>-28162.093064521439</v>
      </c>
      <c r="AD136" s="451">
        <v>0</v>
      </c>
      <c r="AE136" s="457">
        <v>-28162.093064521439</v>
      </c>
      <c r="AF136" s="451">
        <v>-85853.415854060528</v>
      </c>
      <c r="AG136" s="451">
        <v>57691.322789539081</v>
      </c>
      <c r="AH136" s="451">
        <v>0</v>
      </c>
      <c r="AI136" s="451">
        <v>0</v>
      </c>
      <c r="AJ136" s="451">
        <v>0</v>
      </c>
      <c r="AK136" s="462"/>
      <c r="AL136" s="453" t="s">
        <v>103</v>
      </c>
      <c r="AM136" s="451">
        <v>-28162.093064521439</v>
      </c>
      <c r="AN136" s="453" t="s">
        <v>103</v>
      </c>
      <c r="AO136" s="453">
        <v>154</v>
      </c>
      <c r="AP136" s="453">
        <v>153</v>
      </c>
      <c r="AQ136" s="458">
        <v>-1.3780937579036139E-2</v>
      </c>
      <c r="AS136" s="459" t="s">
        <v>104</v>
      </c>
      <c r="AT136" s="453" t="s">
        <v>104</v>
      </c>
      <c r="AU136" s="464" t="s">
        <v>355</v>
      </c>
      <c r="AV136" s="460" t="s">
        <v>36</v>
      </c>
      <c r="AW136" s="453" t="s">
        <v>1430</v>
      </c>
      <c r="BA136" s="464" t="str">
        <f>_xlfn.XLOOKUP(B136,'School List from APT'!A:A,'School List from APT'!C:C,"",FALSE)</f>
        <v>Raddlebarn Primary School</v>
      </c>
    </row>
    <row r="137" spans="1:53" x14ac:dyDescent="0.25">
      <c r="A137" s="453" t="s">
        <v>357</v>
      </c>
      <c r="B137" s="453">
        <v>2159</v>
      </c>
      <c r="C137" s="453">
        <v>2159</v>
      </c>
      <c r="D137" s="453" t="s">
        <v>358</v>
      </c>
      <c r="E137" s="453" t="s">
        <v>83</v>
      </c>
      <c r="F137" s="454" t="s">
        <v>162</v>
      </c>
      <c r="G137" s="454" t="s">
        <v>36</v>
      </c>
      <c r="H137" s="451">
        <v>-125451.6191343111</v>
      </c>
      <c r="I137" s="451">
        <v>0</v>
      </c>
      <c r="J137" s="455">
        <v>-125451.6191343111</v>
      </c>
      <c r="K137" s="451">
        <v>1075940.3002212141</v>
      </c>
      <c r="L137" s="451">
        <v>155349.625</v>
      </c>
      <c r="M137" s="451">
        <v>0</v>
      </c>
      <c r="N137" s="451">
        <v>1231289.9252212141</v>
      </c>
      <c r="O137" s="451">
        <v>16240.583333333336</v>
      </c>
      <c r="P137" s="451">
        <v>0</v>
      </c>
      <c r="Q137" s="451">
        <v>0</v>
      </c>
      <c r="R137" s="451">
        <v>0</v>
      </c>
      <c r="S137" s="451">
        <v>16240.583333333336</v>
      </c>
      <c r="T137" s="451">
        <v>1247530.5085545473</v>
      </c>
      <c r="U137" s="451">
        <v>0</v>
      </c>
      <c r="V137" s="451">
        <v>1122078.8894202362</v>
      </c>
      <c r="W137" s="451">
        <v>1227370.98</v>
      </c>
      <c r="X137" s="451">
        <v>-1419</v>
      </c>
      <c r="Y137" s="451"/>
      <c r="Z137" s="451"/>
      <c r="AA137" s="456"/>
      <c r="AB137" s="451">
        <v>1225951.98</v>
      </c>
      <c r="AC137" s="451">
        <v>-103873.09057976375</v>
      </c>
      <c r="AD137" s="451">
        <v>0</v>
      </c>
      <c r="AE137" s="457">
        <v>-103873.09057976375</v>
      </c>
      <c r="AF137" s="451">
        <v>21578.528554547345</v>
      </c>
      <c r="AG137" s="451">
        <v>-125451.6191343111</v>
      </c>
      <c r="AH137" s="451">
        <v>0</v>
      </c>
      <c r="AI137" s="451">
        <v>0</v>
      </c>
      <c r="AJ137" s="451">
        <v>0</v>
      </c>
      <c r="AK137" s="462"/>
      <c r="AL137" s="453" t="s">
        <v>103</v>
      </c>
      <c r="AM137" s="451">
        <v>-103873.09057976375</v>
      </c>
      <c r="AN137" s="453" t="s">
        <v>103</v>
      </c>
      <c r="AO137" s="453">
        <v>160</v>
      </c>
      <c r="AP137" s="453">
        <v>163</v>
      </c>
      <c r="AQ137" s="458">
        <v>-8.3262966210033956E-2</v>
      </c>
      <c r="AS137" s="459" t="s">
        <v>104</v>
      </c>
      <c r="AT137" s="453" t="s">
        <v>104</v>
      </c>
      <c r="AU137" s="464" t="s">
        <v>357</v>
      </c>
      <c r="AV137" s="460" t="s">
        <v>36</v>
      </c>
      <c r="AW137" s="453" t="s">
        <v>1430</v>
      </c>
      <c r="BA137" s="464" t="str">
        <f>_xlfn.XLOOKUP(B137,'School List from APT'!A:A,'School List from APT'!C:C,"",FALSE)</f>
        <v>Redhill Primary School</v>
      </c>
    </row>
    <row r="138" spans="1:53" x14ac:dyDescent="0.25">
      <c r="A138" s="453" t="s">
        <v>359</v>
      </c>
      <c r="B138" s="453">
        <v>2161</v>
      </c>
      <c r="C138" s="453">
        <v>2161</v>
      </c>
      <c r="D138" s="453" t="s">
        <v>360</v>
      </c>
      <c r="E138" s="453" t="s">
        <v>83</v>
      </c>
      <c r="F138" s="454" t="s">
        <v>162</v>
      </c>
      <c r="G138" s="454" t="s">
        <v>36</v>
      </c>
      <c r="H138" s="451">
        <v>286941.86842786637</v>
      </c>
      <c r="I138" s="451">
        <v>0</v>
      </c>
      <c r="J138" s="455">
        <v>286941.86842786637</v>
      </c>
      <c r="K138" s="451">
        <v>1466219.7336271745</v>
      </c>
      <c r="L138" s="451">
        <v>281399.5</v>
      </c>
      <c r="M138" s="451">
        <v>-5684.495454545453</v>
      </c>
      <c r="N138" s="451">
        <v>1741934.7381726291</v>
      </c>
      <c r="O138" s="451">
        <v>8265.8333333333339</v>
      </c>
      <c r="P138" s="451">
        <v>0</v>
      </c>
      <c r="Q138" s="451">
        <v>0</v>
      </c>
      <c r="R138" s="451">
        <v>0</v>
      </c>
      <c r="S138" s="451">
        <v>8265.8333333333339</v>
      </c>
      <c r="T138" s="451">
        <v>1750200.5715059624</v>
      </c>
      <c r="U138" s="451">
        <v>0</v>
      </c>
      <c r="V138" s="451">
        <v>2037142.4399338288</v>
      </c>
      <c r="W138" s="451">
        <v>1776900.53</v>
      </c>
      <c r="X138" s="451">
        <v>-11002</v>
      </c>
      <c r="Y138" s="451"/>
      <c r="Z138" s="493"/>
      <c r="AA138" s="456"/>
      <c r="AB138" s="451">
        <v>1765898.53</v>
      </c>
      <c r="AC138" s="451">
        <v>271243.90993382875</v>
      </c>
      <c r="AD138" s="451">
        <v>379.74147390736027</v>
      </c>
      <c r="AE138" s="457">
        <v>271623.65140773612</v>
      </c>
      <c r="AF138" s="451">
        <v>-15318.217020130251</v>
      </c>
      <c r="AG138" s="451">
        <v>286941.86842786637</v>
      </c>
      <c r="AH138" s="451">
        <v>271243.90993382875</v>
      </c>
      <c r="AI138" s="451">
        <v>87096.736908631457</v>
      </c>
      <c r="AJ138" s="451">
        <v>379.74147390736027</v>
      </c>
      <c r="AK138" s="462"/>
      <c r="AL138" s="453" t="s">
        <v>108</v>
      </c>
      <c r="AM138" s="451">
        <v>271623.65140773612</v>
      </c>
      <c r="AN138" s="453" t="s">
        <v>108</v>
      </c>
      <c r="AO138" s="453">
        <v>71</v>
      </c>
      <c r="AP138" s="453">
        <v>57</v>
      </c>
      <c r="AQ138" s="458">
        <v>0.15519572775251536</v>
      </c>
      <c r="AS138" s="459" t="s">
        <v>104</v>
      </c>
      <c r="AT138" s="453" t="s">
        <v>104</v>
      </c>
      <c r="AU138" s="464" t="s">
        <v>359</v>
      </c>
      <c r="AV138" s="460" t="s">
        <v>36</v>
      </c>
      <c r="AW138" s="453" t="s">
        <v>1430</v>
      </c>
      <c r="BA138" s="464" t="str">
        <f>_xlfn.XLOOKUP(B138,'School List from APT'!A:A,'School List from APT'!C:C,"",FALSE)</f>
        <v>Rednal Hill Infant School</v>
      </c>
    </row>
    <row r="139" spans="1:53" x14ac:dyDescent="0.25">
      <c r="A139" s="453" t="s">
        <v>361</v>
      </c>
      <c r="B139" s="453">
        <v>2160</v>
      </c>
      <c r="C139" s="453">
        <v>2160</v>
      </c>
      <c r="D139" s="453" t="s">
        <v>362</v>
      </c>
      <c r="F139" s="454" t="s">
        <v>162</v>
      </c>
      <c r="G139" s="454" t="s">
        <v>36</v>
      </c>
      <c r="H139" s="451">
        <v>178037.23603490161</v>
      </c>
      <c r="I139" s="451">
        <v>0</v>
      </c>
      <c r="J139" s="455">
        <v>178037.23603490161</v>
      </c>
      <c r="K139" s="451">
        <v>1740139.2079851823</v>
      </c>
      <c r="L139" s="451">
        <v>335609.52500000002</v>
      </c>
      <c r="M139" s="451">
        <v>0</v>
      </c>
      <c r="N139" s="451">
        <v>2075748.7329851822</v>
      </c>
      <c r="O139" s="451">
        <v>19880.247499999998</v>
      </c>
      <c r="P139" s="451">
        <v>0</v>
      </c>
      <c r="Q139" s="451">
        <v>0</v>
      </c>
      <c r="R139" s="451">
        <v>0</v>
      </c>
      <c r="S139" s="451">
        <v>19880.247499999998</v>
      </c>
      <c r="T139" s="451">
        <v>2095628.9804851823</v>
      </c>
      <c r="U139" s="451">
        <v>0</v>
      </c>
      <c r="V139" s="451">
        <v>2273666.2165200841</v>
      </c>
      <c r="W139" s="451">
        <v>2019848.79</v>
      </c>
      <c r="X139" s="451">
        <v>-4550</v>
      </c>
      <c r="Y139" s="451"/>
      <c r="Z139" s="493"/>
      <c r="AA139" s="456"/>
      <c r="AB139" s="451">
        <v>2015298.79</v>
      </c>
      <c r="AC139" s="451">
        <v>258367.42652008403</v>
      </c>
      <c r="AD139" s="451">
        <v>249.25213044886226</v>
      </c>
      <c r="AE139" s="457">
        <v>258616.67865053291</v>
      </c>
      <c r="AF139" s="451">
        <v>80579.442615631298</v>
      </c>
      <c r="AG139" s="451">
        <v>178037.23603490161</v>
      </c>
      <c r="AH139" s="451">
        <v>178037.23603490161</v>
      </c>
      <c r="AI139" s="451">
        <v>103787.43664925912</v>
      </c>
      <c r="AJ139" s="451">
        <v>249.25213044886226</v>
      </c>
      <c r="AK139" s="462"/>
      <c r="AL139" s="453" t="s">
        <v>108</v>
      </c>
      <c r="AM139" s="451">
        <v>258616.67865053291</v>
      </c>
      <c r="AN139" s="453" t="s">
        <v>108</v>
      </c>
      <c r="AO139" s="453">
        <v>73</v>
      </c>
      <c r="AP139" s="453">
        <v>85</v>
      </c>
      <c r="AQ139" s="458">
        <v>0.12340766474352616</v>
      </c>
      <c r="AS139" s="459" t="s">
        <v>104</v>
      </c>
      <c r="AT139" s="453" t="s">
        <v>104</v>
      </c>
      <c r="AU139" s="464" t="s">
        <v>361</v>
      </c>
      <c r="AV139" s="460" t="s">
        <v>36</v>
      </c>
      <c r="AW139" s="453" t="s">
        <v>1430</v>
      </c>
      <c r="BA139" s="464" t="str">
        <f>_xlfn.XLOOKUP(B139,'School List from APT'!A:A,'School List from APT'!C:C,"",FALSE)</f>
        <v>Rednal Hill Junior School</v>
      </c>
    </row>
    <row r="140" spans="1:53" x14ac:dyDescent="0.25">
      <c r="A140" s="453" t="s">
        <v>363</v>
      </c>
      <c r="B140" s="453">
        <v>2063</v>
      </c>
      <c r="C140" s="453">
        <v>2063</v>
      </c>
      <c r="D140" s="453" t="s">
        <v>364</v>
      </c>
      <c r="E140" s="453" t="s">
        <v>83</v>
      </c>
      <c r="F140" s="454" t="s">
        <v>162</v>
      </c>
      <c r="G140" s="454" t="s">
        <v>36</v>
      </c>
      <c r="H140" s="451">
        <v>312718.5819100709</v>
      </c>
      <c r="I140" s="451">
        <v>0</v>
      </c>
      <c r="J140" s="455">
        <v>312718.5819100709</v>
      </c>
      <c r="K140" s="451">
        <v>2804510.2954662098</v>
      </c>
      <c r="L140" s="451">
        <v>499444.25</v>
      </c>
      <c r="M140" s="451">
        <v>-23461.950000000012</v>
      </c>
      <c r="N140" s="451">
        <v>3280492.5954662096</v>
      </c>
      <c r="O140" s="451">
        <v>27054.869583333337</v>
      </c>
      <c r="P140" s="451">
        <v>109242.34</v>
      </c>
      <c r="Q140" s="451">
        <v>0</v>
      </c>
      <c r="R140" s="451">
        <v>0</v>
      </c>
      <c r="S140" s="451">
        <v>136297.20958333334</v>
      </c>
      <c r="T140" s="451">
        <v>3416789.8050495428</v>
      </c>
      <c r="U140" s="451">
        <v>0</v>
      </c>
      <c r="V140" s="451">
        <v>3729508.3869596138</v>
      </c>
      <c r="W140" s="451">
        <v>3560507.39</v>
      </c>
      <c r="X140" s="451">
        <v>-34309.620000000003</v>
      </c>
      <c r="Y140" s="451"/>
      <c r="Z140" s="451"/>
      <c r="AA140" s="456"/>
      <c r="AB140" s="451">
        <v>3526197.77</v>
      </c>
      <c r="AC140" s="451">
        <v>203310.61695961375</v>
      </c>
      <c r="AD140" s="451">
        <v>284.63486374345928</v>
      </c>
      <c r="AE140" s="457">
        <v>203595.25182335722</v>
      </c>
      <c r="AF140" s="451">
        <v>-109123.33008671369</v>
      </c>
      <c r="AG140" s="451">
        <v>312718.5819100709</v>
      </c>
      <c r="AH140" s="451">
        <v>203310.61695961375</v>
      </c>
      <c r="AI140" s="451">
        <v>164024.6297733105</v>
      </c>
      <c r="AJ140" s="451">
        <v>284.63486374345928</v>
      </c>
      <c r="AK140" s="462"/>
      <c r="AL140" s="453" t="s">
        <v>108</v>
      </c>
      <c r="AM140" s="451">
        <v>203595.25182335722</v>
      </c>
      <c r="AN140" s="453" t="s">
        <v>108</v>
      </c>
      <c r="AO140" s="453">
        <v>92</v>
      </c>
      <c r="AP140" s="453">
        <v>127</v>
      </c>
      <c r="AQ140" s="458">
        <v>5.9586706657363465E-2</v>
      </c>
      <c r="AS140" s="459" t="s">
        <v>104</v>
      </c>
      <c r="AT140" s="453" t="s">
        <v>104</v>
      </c>
      <c r="AU140" s="464" t="s">
        <v>363</v>
      </c>
      <c r="AV140" s="460" t="s">
        <v>36</v>
      </c>
      <c r="AW140" s="453" t="s">
        <v>1430</v>
      </c>
      <c r="BA140" s="464" t="str">
        <f>_xlfn.XLOOKUP(B140,'School List from APT'!A:A,'School List from APT'!C:C,"",FALSE)</f>
        <v>Regents Park Community Primary School</v>
      </c>
    </row>
    <row r="141" spans="1:53" x14ac:dyDescent="0.25">
      <c r="A141" s="453" t="s">
        <v>365</v>
      </c>
      <c r="B141" s="453">
        <v>3325</v>
      </c>
      <c r="C141" s="453">
        <v>3325</v>
      </c>
      <c r="D141" s="453" t="s">
        <v>366</v>
      </c>
      <c r="E141" s="453" t="s">
        <v>83</v>
      </c>
      <c r="F141" s="454" t="s">
        <v>857</v>
      </c>
      <c r="G141" s="454" t="s">
        <v>36</v>
      </c>
      <c r="H141" s="451">
        <v>322470.34961482545</v>
      </c>
      <c r="I141" s="454">
        <v>0</v>
      </c>
      <c r="J141" s="454">
        <v>322470.34961482545</v>
      </c>
      <c r="K141" s="454">
        <v>923810.21860899997</v>
      </c>
      <c r="L141" s="454">
        <v>150388.83333333331</v>
      </c>
      <c r="M141" s="451">
        <v>-28915.014705882364</v>
      </c>
      <c r="N141" s="454">
        <v>1045284.0372364509</v>
      </c>
      <c r="O141" s="454">
        <v>32984.095000000001</v>
      </c>
      <c r="P141" s="454">
        <v>0</v>
      </c>
      <c r="Q141" s="454">
        <v>0</v>
      </c>
      <c r="R141" s="454">
        <v>0</v>
      </c>
      <c r="S141" s="454">
        <v>32984.095000000001</v>
      </c>
      <c r="T141" s="454">
        <v>1078268.1322364509</v>
      </c>
      <c r="U141" s="451">
        <v>0</v>
      </c>
      <c r="V141" s="454">
        <v>1400738.4818512765</v>
      </c>
      <c r="W141" s="451">
        <v>1447820.02</v>
      </c>
      <c r="X141" s="451">
        <v>0</v>
      </c>
      <c r="Y141" s="454"/>
      <c r="Z141" s="454"/>
      <c r="AA141" s="454"/>
      <c r="AB141" s="454">
        <v>1447820.02</v>
      </c>
      <c r="AC141" s="454">
        <v>-47081.538148723543</v>
      </c>
      <c r="AD141" s="454">
        <v>0</v>
      </c>
      <c r="AE141" s="454">
        <v>-47081.538148723543</v>
      </c>
      <c r="AF141" s="454">
        <v>-369551.88776354899</v>
      </c>
      <c r="AG141" s="454">
        <v>322470.34961482545</v>
      </c>
      <c r="AH141" s="454">
        <v>0</v>
      </c>
      <c r="AI141" s="454">
        <v>0</v>
      </c>
      <c r="AJ141" s="454">
        <v>0</v>
      </c>
      <c r="AK141" s="454"/>
      <c r="AL141" s="454" t="s">
        <v>1432</v>
      </c>
      <c r="AM141" s="454">
        <v>-47081.538148723543</v>
      </c>
      <c r="AN141" s="454" t="s">
        <v>1432</v>
      </c>
      <c r="AO141" s="454">
        <v>156</v>
      </c>
      <c r="AP141" s="454">
        <v>157</v>
      </c>
      <c r="AQ141" s="458">
        <v>-4.3664035633763067E-2</v>
      </c>
      <c r="AR141" s="454"/>
      <c r="AS141" s="454" t="s">
        <v>104</v>
      </c>
      <c r="AT141" s="454" t="s">
        <v>104</v>
      </c>
      <c r="AU141" s="454" t="s">
        <v>365</v>
      </c>
      <c r="AV141" s="454" t="s">
        <v>36</v>
      </c>
      <c r="AW141" s="454" t="s">
        <v>1433</v>
      </c>
      <c r="BA141" s="464" t="str">
        <f>_xlfn.XLOOKUP(B141,'School List from APT'!A:A,'School List from APT'!C:C,"",FALSE)</f>
        <v>The Rosary Catholic Primary School</v>
      </c>
    </row>
    <row r="142" spans="1:53" x14ac:dyDescent="0.25">
      <c r="A142" s="453" t="s">
        <v>367</v>
      </c>
      <c r="B142" s="453">
        <v>2169</v>
      </c>
      <c r="C142" s="453">
        <v>2169</v>
      </c>
      <c r="D142" s="453" t="s">
        <v>368</v>
      </c>
      <c r="E142" s="453" t="s">
        <v>83</v>
      </c>
      <c r="F142" s="454" t="s">
        <v>162</v>
      </c>
      <c r="G142" s="454" t="s">
        <v>36</v>
      </c>
      <c r="H142" s="451">
        <v>478212.07780995738</v>
      </c>
      <c r="I142" s="451">
        <v>0</v>
      </c>
      <c r="J142" s="455">
        <v>478212.07780995738</v>
      </c>
      <c r="K142" s="451">
        <v>2082732.3928301022</v>
      </c>
      <c r="L142" s="451">
        <v>412762.875</v>
      </c>
      <c r="M142" s="451">
        <v>7605.478846153841</v>
      </c>
      <c r="N142" s="451">
        <v>2503100.7466762559</v>
      </c>
      <c r="O142" s="451">
        <v>23214.006000000001</v>
      </c>
      <c r="P142" s="451">
        <v>0</v>
      </c>
      <c r="Q142" s="451">
        <v>0</v>
      </c>
      <c r="R142" s="451">
        <v>0</v>
      </c>
      <c r="S142" s="451">
        <v>23214.006000000001</v>
      </c>
      <c r="T142" s="451">
        <v>2526314.752676256</v>
      </c>
      <c r="U142" s="451">
        <v>0</v>
      </c>
      <c r="V142" s="451">
        <v>3004526.8304862133</v>
      </c>
      <c r="W142" s="451">
        <v>2535029.2799999998</v>
      </c>
      <c r="X142" s="451">
        <v>-9827.19</v>
      </c>
      <c r="Y142" s="451"/>
      <c r="Z142" s="451"/>
      <c r="AA142" s="456"/>
      <c r="AB142" s="451">
        <v>2525202.09</v>
      </c>
      <c r="AC142" s="451">
        <v>479324.74048621347</v>
      </c>
      <c r="AD142" s="451">
        <v>669.4969089339404</v>
      </c>
      <c r="AE142" s="457">
        <v>479994.23739514739</v>
      </c>
      <c r="AF142" s="451">
        <v>1782.1595851900056</v>
      </c>
      <c r="AG142" s="451">
        <v>478212.07780995738</v>
      </c>
      <c r="AH142" s="451">
        <v>478212.07780995738</v>
      </c>
      <c r="AI142" s="451">
        <v>125155.0373338128</v>
      </c>
      <c r="AJ142" s="451">
        <v>669.4969089339404</v>
      </c>
      <c r="AK142" s="462"/>
      <c r="AL142" s="453" t="s">
        <v>108</v>
      </c>
      <c r="AM142" s="451">
        <v>479994.23739514739</v>
      </c>
      <c r="AN142" s="453" t="s">
        <v>108</v>
      </c>
      <c r="AO142" s="453">
        <v>26</v>
      </c>
      <c r="AP142" s="453">
        <v>42</v>
      </c>
      <c r="AQ142" s="458">
        <v>0.18999779694381497</v>
      </c>
      <c r="AS142" s="459" t="s">
        <v>104</v>
      </c>
      <c r="AT142" s="453" t="s">
        <v>104</v>
      </c>
      <c r="AU142" s="464" t="s">
        <v>367</v>
      </c>
      <c r="AV142" s="460" t="s">
        <v>36</v>
      </c>
      <c r="AW142" s="453" t="s">
        <v>1430</v>
      </c>
      <c r="BA142" s="464" t="str">
        <f>_xlfn.XLOOKUP(B142,'School List from APT'!A:A,'School List from APT'!C:C,"",FALSE)</f>
        <v>Severne Junior Infant and Nursery School</v>
      </c>
    </row>
    <row r="143" spans="1:53" x14ac:dyDescent="0.25">
      <c r="A143" s="453" t="s">
        <v>369</v>
      </c>
      <c r="B143" s="453">
        <v>2008</v>
      </c>
      <c r="C143" s="453">
        <v>2008</v>
      </c>
      <c r="D143" s="453" t="s">
        <v>370</v>
      </c>
      <c r="E143" s="453" t="s">
        <v>83</v>
      </c>
      <c r="F143" s="454" t="s">
        <v>162</v>
      </c>
      <c r="G143" s="454" t="s">
        <v>36</v>
      </c>
      <c r="H143" s="451">
        <v>388990.37308707891</v>
      </c>
      <c r="I143" s="451">
        <v>0</v>
      </c>
      <c r="J143" s="455">
        <v>388990.37308707891</v>
      </c>
      <c r="K143" s="451">
        <v>2262205.3344509527</v>
      </c>
      <c r="L143" s="451">
        <v>319930</v>
      </c>
      <c r="M143" s="451">
        <v>4891.0950000000012</v>
      </c>
      <c r="N143" s="451">
        <v>2587026.4294509529</v>
      </c>
      <c r="O143" s="451">
        <v>21000</v>
      </c>
      <c r="P143" s="451">
        <v>0</v>
      </c>
      <c r="Q143" s="451">
        <v>0</v>
      </c>
      <c r="R143" s="451">
        <v>0</v>
      </c>
      <c r="S143" s="451">
        <v>21000</v>
      </c>
      <c r="T143" s="451">
        <v>2608026.4294509529</v>
      </c>
      <c r="U143" s="451">
        <v>0</v>
      </c>
      <c r="V143" s="451">
        <v>2997016.8025380317</v>
      </c>
      <c r="W143" s="451">
        <v>2660666.2799999998</v>
      </c>
      <c r="X143" s="451">
        <v>-12509.68</v>
      </c>
      <c r="Y143" s="451"/>
      <c r="Z143" s="451"/>
      <c r="AA143" s="456"/>
      <c r="AB143" s="451">
        <v>2648156.5999999996</v>
      </c>
      <c r="AC143" s="451">
        <v>348860.20253803208</v>
      </c>
      <c r="AD143" s="451">
        <v>488.40428355324491</v>
      </c>
      <c r="AE143" s="457">
        <v>349348.60682158533</v>
      </c>
      <c r="AF143" s="451">
        <v>-39641.766265493585</v>
      </c>
      <c r="AG143" s="451">
        <v>388990.37308707891</v>
      </c>
      <c r="AH143" s="451">
        <v>348860.20253803208</v>
      </c>
      <c r="AI143" s="451">
        <v>129351.32147254766</v>
      </c>
      <c r="AJ143" s="451">
        <v>488.40428355324491</v>
      </c>
      <c r="AK143" s="462"/>
      <c r="AL143" s="453" t="s">
        <v>108</v>
      </c>
      <c r="AM143" s="451">
        <v>349348.60682158533</v>
      </c>
      <c r="AN143" s="453" t="s">
        <v>108</v>
      </c>
      <c r="AO143" s="453">
        <v>45</v>
      </c>
      <c r="AP143" s="453">
        <v>73</v>
      </c>
      <c r="AQ143" s="458">
        <v>0.13395132920302918</v>
      </c>
      <c r="AS143" s="459" t="s">
        <v>104</v>
      </c>
      <c r="AT143" s="453" t="s">
        <v>104</v>
      </c>
      <c r="AU143" s="464" t="s">
        <v>369</v>
      </c>
      <c r="AV143" s="460" t="s">
        <v>36</v>
      </c>
      <c r="AW143" s="453" t="s">
        <v>1430</v>
      </c>
      <c r="BA143" s="464" t="str">
        <f>_xlfn.XLOOKUP(B143,'School List from APT'!A:A,'School List from APT'!C:C,"",FALSE)</f>
        <v>Shaw Hill Primary School</v>
      </c>
    </row>
    <row r="144" spans="1:53" x14ac:dyDescent="0.25">
      <c r="A144" s="453" t="s">
        <v>371</v>
      </c>
      <c r="B144" s="453">
        <v>2018</v>
      </c>
      <c r="C144" s="453">
        <v>2018</v>
      </c>
      <c r="D144" s="453" t="s">
        <v>372</v>
      </c>
      <c r="E144" s="453" t="s">
        <v>83</v>
      </c>
      <c r="F144" s="454" t="s">
        <v>162</v>
      </c>
      <c r="G144" s="454" t="s">
        <v>36</v>
      </c>
      <c r="H144" s="451">
        <v>395695.93446920707</v>
      </c>
      <c r="I144" s="451">
        <v>0</v>
      </c>
      <c r="J144" s="455">
        <v>395695.93446920707</v>
      </c>
      <c r="K144" s="451">
        <v>2023455.3053357189</v>
      </c>
      <c r="L144" s="451">
        <v>436795.375</v>
      </c>
      <c r="M144" s="451">
        <v>-662.25555555557366</v>
      </c>
      <c r="N144" s="451">
        <v>2459588.4247801634</v>
      </c>
      <c r="O144" s="451">
        <v>43257.72583333333</v>
      </c>
      <c r="P144" s="451">
        <v>38823.75</v>
      </c>
      <c r="Q144" s="451">
        <v>0</v>
      </c>
      <c r="R144" s="451">
        <v>0</v>
      </c>
      <c r="S144" s="451">
        <v>82081.47583333333</v>
      </c>
      <c r="T144" s="451">
        <v>2541669.900613497</v>
      </c>
      <c r="U144" s="451">
        <v>0</v>
      </c>
      <c r="V144" s="451">
        <v>2937365.8350827042</v>
      </c>
      <c r="W144" s="451">
        <v>2649928.0299999998</v>
      </c>
      <c r="X144" s="451">
        <v>1086</v>
      </c>
      <c r="Y144" s="451"/>
      <c r="Z144" s="451"/>
      <c r="AA144" s="456"/>
      <c r="AB144" s="451">
        <v>2651014.0299999998</v>
      </c>
      <c r="AC144" s="451">
        <v>286351.80508270441</v>
      </c>
      <c r="AD144" s="451">
        <v>400.89252711578615</v>
      </c>
      <c r="AE144" s="457">
        <v>286752.69760982017</v>
      </c>
      <c r="AF144" s="451">
        <v>-108943.2368593869</v>
      </c>
      <c r="AG144" s="451">
        <v>395695.93446920707</v>
      </c>
      <c r="AH144" s="451">
        <v>286351.80508270441</v>
      </c>
      <c r="AI144" s="451">
        <v>122979.42123900818</v>
      </c>
      <c r="AJ144" s="451">
        <v>400.89252711578615</v>
      </c>
      <c r="AK144" s="462"/>
      <c r="AL144" s="453" t="s">
        <v>108</v>
      </c>
      <c r="AM144" s="451">
        <v>286752.69760982017</v>
      </c>
      <c r="AN144" s="453" t="s">
        <v>108</v>
      </c>
      <c r="AO144" s="453">
        <v>64</v>
      </c>
      <c r="AP144" s="453">
        <v>91</v>
      </c>
      <c r="AQ144" s="458">
        <v>0.11282058993601218</v>
      </c>
      <c r="AS144" s="459" t="s">
        <v>104</v>
      </c>
      <c r="AT144" s="453" t="s">
        <v>104</v>
      </c>
      <c r="AU144" s="464" t="s">
        <v>371</v>
      </c>
      <c r="AV144" s="460" t="s">
        <v>36</v>
      </c>
      <c r="AW144" s="453" t="s">
        <v>1430</v>
      </c>
      <c r="BA144" s="464" t="str">
        <f>_xlfn.XLOOKUP(B144,'School List from APT'!A:A,'School List from APT'!C:C,"",FALSE)</f>
        <v>The Oaks Primary School</v>
      </c>
    </row>
    <row r="145" spans="1:53" x14ac:dyDescent="0.25">
      <c r="A145" s="453" t="s">
        <v>373</v>
      </c>
      <c r="B145" s="453">
        <v>2174</v>
      </c>
      <c r="C145" s="453">
        <v>2174</v>
      </c>
      <c r="D145" s="453" t="s">
        <v>374</v>
      </c>
      <c r="F145" s="454" t="s">
        <v>162</v>
      </c>
      <c r="G145" s="454" t="s">
        <v>107</v>
      </c>
      <c r="H145" s="451">
        <v>389927.7113065822</v>
      </c>
      <c r="I145" s="451">
        <v>-1.3065821840427816E-3</v>
      </c>
      <c r="J145" s="455">
        <v>389927.71</v>
      </c>
      <c r="K145" s="451">
        <v>1722934.2213401857</v>
      </c>
      <c r="L145" s="451">
        <v>307100.76</v>
      </c>
      <c r="M145" s="451">
        <v>0</v>
      </c>
      <c r="N145" s="451">
        <v>2030034.9813401857</v>
      </c>
      <c r="O145" s="451">
        <v>16784.416666666664</v>
      </c>
      <c r="P145" s="451">
        <v>0</v>
      </c>
      <c r="Q145" s="451">
        <v>0</v>
      </c>
      <c r="R145" s="451">
        <v>0</v>
      </c>
      <c r="S145" s="451">
        <v>16784.416666666664</v>
      </c>
      <c r="T145" s="451">
        <v>2046819.3980068525</v>
      </c>
      <c r="U145" s="451">
        <v>0</v>
      </c>
      <c r="V145" s="451">
        <v>2436747.1080068527</v>
      </c>
      <c r="W145" s="451">
        <v>2123907.14</v>
      </c>
      <c r="X145" s="451">
        <v>0</v>
      </c>
      <c r="Y145" s="451"/>
      <c r="Z145" s="451"/>
      <c r="AA145" s="456"/>
      <c r="AB145" s="451">
        <v>2123907.14</v>
      </c>
      <c r="AC145" s="451">
        <v>312839.96800685255</v>
      </c>
      <c r="AD145" s="451">
        <v>0</v>
      </c>
      <c r="AE145" s="457">
        <v>312839.96800685255</v>
      </c>
      <c r="AF145" s="451">
        <v>-77087.741993147472</v>
      </c>
      <c r="AG145" s="451">
        <v>389927.71</v>
      </c>
      <c r="AH145" s="451">
        <v>0</v>
      </c>
      <c r="AI145" s="451">
        <v>0</v>
      </c>
      <c r="AJ145" s="451">
        <v>0</v>
      </c>
      <c r="AK145" s="462"/>
      <c r="AL145" s="453" t="s">
        <v>108</v>
      </c>
      <c r="AM145" s="451">
        <v>312839.96800685255</v>
      </c>
      <c r="AN145" s="453" t="s">
        <v>108</v>
      </c>
      <c r="AO145" s="453">
        <v>55</v>
      </c>
      <c r="AP145" s="453">
        <v>60</v>
      </c>
      <c r="AQ145" s="458">
        <v>0.15284199881606025</v>
      </c>
      <c r="AS145" s="459" t="s">
        <v>104</v>
      </c>
      <c r="AT145" s="453" t="s">
        <v>109</v>
      </c>
      <c r="AU145" s="464" t="s">
        <v>373</v>
      </c>
      <c r="AV145" s="460" t="s">
        <v>36</v>
      </c>
      <c r="AW145" s="453" t="s">
        <v>1431</v>
      </c>
      <c r="BA145" s="464" t="str">
        <f>_xlfn.XLOOKUP(B145,'School List from APT'!A:A,'School List from APT'!C:C,"",FALSE)</f>
        <v>Sladefield Infant School</v>
      </c>
    </row>
    <row r="146" spans="1:53" x14ac:dyDescent="0.25">
      <c r="A146" s="453" t="s">
        <v>375</v>
      </c>
      <c r="B146" s="453">
        <v>2176</v>
      </c>
      <c r="C146" s="453">
        <v>2176</v>
      </c>
      <c r="D146" s="453" t="s">
        <v>376</v>
      </c>
      <c r="E146" s="453" t="s">
        <v>83</v>
      </c>
      <c r="F146" s="454" t="s">
        <v>162</v>
      </c>
      <c r="G146" s="454" t="s">
        <v>36</v>
      </c>
      <c r="H146" s="451">
        <v>274879.94093491056</v>
      </c>
      <c r="I146" s="451">
        <v>0</v>
      </c>
      <c r="J146" s="455">
        <v>274879.94093491056</v>
      </c>
      <c r="K146" s="451">
        <v>3387661.4837980601</v>
      </c>
      <c r="L146" s="451">
        <v>492874.125</v>
      </c>
      <c r="M146" s="451">
        <v>-29329.228125000023</v>
      </c>
      <c r="N146" s="451">
        <v>3851206.3806730602</v>
      </c>
      <c r="O146" s="451">
        <v>69210.644499999995</v>
      </c>
      <c r="P146" s="451">
        <v>0</v>
      </c>
      <c r="Q146" s="451">
        <v>0</v>
      </c>
      <c r="R146" s="451">
        <v>0</v>
      </c>
      <c r="S146" s="451">
        <v>69210.644499999995</v>
      </c>
      <c r="T146" s="451">
        <v>3920417.0251730601</v>
      </c>
      <c r="U146" s="451">
        <v>0</v>
      </c>
      <c r="V146" s="451">
        <v>4195296.966107971</v>
      </c>
      <c r="W146" s="451">
        <v>3961457.6</v>
      </c>
      <c r="X146" s="451">
        <v>-2847</v>
      </c>
      <c r="Y146" s="451"/>
      <c r="Z146" s="451"/>
      <c r="AA146" s="456"/>
      <c r="AB146" s="451">
        <v>3958610.6</v>
      </c>
      <c r="AC146" s="451">
        <v>236686.36610797094</v>
      </c>
      <c r="AD146" s="451">
        <v>331.36091255115929</v>
      </c>
      <c r="AE146" s="457">
        <v>237017.72702052211</v>
      </c>
      <c r="AF146" s="451">
        <v>-37862.213914388441</v>
      </c>
      <c r="AG146" s="451">
        <v>274879.94093491056</v>
      </c>
      <c r="AH146" s="451">
        <v>236686.36610797094</v>
      </c>
      <c r="AI146" s="451">
        <v>192560.31903365301</v>
      </c>
      <c r="AJ146" s="451">
        <v>331.36091255115929</v>
      </c>
      <c r="AK146" s="462"/>
      <c r="AL146" s="453" t="s">
        <v>108</v>
      </c>
      <c r="AM146" s="451">
        <v>237017.72702052211</v>
      </c>
      <c r="AN146" s="453" t="s">
        <v>108</v>
      </c>
      <c r="AO146" s="453">
        <v>82</v>
      </c>
      <c r="AP146" s="453">
        <v>126</v>
      </c>
      <c r="AQ146" s="458">
        <v>6.0457274187574302E-2</v>
      </c>
      <c r="AS146" s="459" t="s">
        <v>104</v>
      </c>
      <c r="AT146" s="453" t="s">
        <v>104</v>
      </c>
      <c r="AU146" s="464" t="s">
        <v>375</v>
      </c>
      <c r="AV146" s="460" t="s">
        <v>36</v>
      </c>
      <c r="AW146" s="453" t="s">
        <v>1430</v>
      </c>
      <c r="BA146" s="464" t="str">
        <f>_xlfn.XLOOKUP(B146,'School List from APT'!A:A,'School List from APT'!C:C,"",FALSE)</f>
        <v>Somerville Primary (NC) School</v>
      </c>
    </row>
    <row r="147" spans="1:53" x14ac:dyDescent="0.25">
      <c r="A147" s="453" t="s">
        <v>377</v>
      </c>
      <c r="B147" s="453">
        <v>3381</v>
      </c>
      <c r="C147" s="453">
        <v>3381</v>
      </c>
      <c r="D147" s="453" t="s">
        <v>378</v>
      </c>
      <c r="F147" s="454" t="s">
        <v>162</v>
      </c>
      <c r="G147" s="454" t="s">
        <v>36</v>
      </c>
      <c r="H147" s="451">
        <v>16406.949213069962</v>
      </c>
      <c r="I147" s="451">
        <v>0</v>
      </c>
      <c r="J147" s="455">
        <v>16406.949213069962</v>
      </c>
      <c r="K147" s="451">
        <v>927776.64154533099</v>
      </c>
      <c r="L147" s="451">
        <v>142333.375</v>
      </c>
      <c r="M147" s="451">
        <v>0</v>
      </c>
      <c r="N147" s="451">
        <v>1070110.0165453311</v>
      </c>
      <c r="O147" s="451">
        <v>6000</v>
      </c>
      <c r="P147" s="451">
        <v>0</v>
      </c>
      <c r="Q147" s="451">
        <v>0</v>
      </c>
      <c r="R147" s="451">
        <v>0</v>
      </c>
      <c r="S147" s="451">
        <v>6000</v>
      </c>
      <c r="T147" s="451">
        <v>1076110.0165453311</v>
      </c>
      <c r="U147" s="451">
        <v>0</v>
      </c>
      <c r="V147" s="451">
        <v>1092516.965758401</v>
      </c>
      <c r="W147" s="451">
        <v>1161301.8899999999</v>
      </c>
      <c r="X147" s="451">
        <v>0</v>
      </c>
      <c r="Y147" s="451"/>
      <c r="Z147" s="451"/>
      <c r="AA147" s="456"/>
      <c r="AB147" s="451">
        <v>1161301.8899999999</v>
      </c>
      <c r="AC147" s="451">
        <v>-68784.924241598928</v>
      </c>
      <c r="AD147" s="451">
        <v>0</v>
      </c>
      <c r="AE147" s="457">
        <v>-68784.924241598928</v>
      </c>
      <c r="AF147" s="451">
        <v>-85191.873454668894</v>
      </c>
      <c r="AG147" s="451">
        <v>16406.949213069962</v>
      </c>
      <c r="AH147" s="451">
        <v>0</v>
      </c>
      <c r="AI147" s="451">
        <v>0</v>
      </c>
      <c r="AJ147" s="451">
        <v>0</v>
      </c>
      <c r="AK147" s="462"/>
      <c r="AL147" s="453" t="s">
        <v>103</v>
      </c>
      <c r="AM147" s="451">
        <v>-68784.924241598928</v>
      </c>
      <c r="AN147" s="453" t="s">
        <v>103</v>
      </c>
      <c r="AO147" s="453">
        <v>158</v>
      </c>
      <c r="AP147" s="453">
        <v>160</v>
      </c>
      <c r="AQ147" s="458">
        <v>-6.3919973965507054E-2</v>
      </c>
      <c r="AS147" s="459" t="s">
        <v>104</v>
      </c>
      <c r="AT147" s="453" t="s">
        <v>104</v>
      </c>
      <c r="AU147" s="464" t="s">
        <v>377</v>
      </c>
      <c r="AV147" s="460" t="s">
        <v>36</v>
      </c>
      <c r="AW147" s="453" t="s">
        <v>1430</v>
      </c>
      <c r="BA147" s="464" t="str">
        <f>_xlfn.XLOOKUP(B147,'School List from APT'!A:A,'School List from APT'!C:C,"",FALSE)</f>
        <v>St Alban's Catholic Primary School</v>
      </c>
    </row>
    <row r="148" spans="1:53" x14ac:dyDescent="0.25">
      <c r="A148" s="453" t="s">
        <v>379</v>
      </c>
      <c r="B148" s="453">
        <v>3380</v>
      </c>
      <c r="C148" s="453">
        <v>3380</v>
      </c>
      <c r="D148" s="453" t="s">
        <v>380</v>
      </c>
      <c r="F148" s="454" t="s">
        <v>162</v>
      </c>
      <c r="G148" s="454" t="s">
        <v>36</v>
      </c>
      <c r="H148" s="451">
        <v>222167.96873169029</v>
      </c>
      <c r="I148" s="451">
        <v>0</v>
      </c>
      <c r="J148" s="455">
        <v>222167.96873169029</v>
      </c>
      <c r="K148" s="451">
        <v>932394.95117986156</v>
      </c>
      <c r="L148" s="451">
        <v>104736.875</v>
      </c>
      <c r="M148" s="451">
        <v>0</v>
      </c>
      <c r="N148" s="451">
        <v>1037131.8261798616</v>
      </c>
      <c r="O148" s="451">
        <v>40270.239166666666</v>
      </c>
      <c r="P148" s="451">
        <v>0</v>
      </c>
      <c r="Q148" s="451">
        <v>0</v>
      </c>
      <c r="R148" s="451">
        <v>0</v>
      </c>
      <c r="S148" s="451">
        <v>40270.239166666666</v>
      </c>
      <c r="T148" s="451">
        <v>1077402.0653465283</v>
      </c>
      <c r="U148" s="451">
        <v>0</v>
      </c>
      <c r="V148" s="451">
        <v>1299570.0340782185</v>
      </c>
      <c r="W148" s="451">
        <v>1124532.1299999999</v>
      </c>
      <c r="X148" s="451">
        <v>0</v>
      </c>
      <c r="Y148" s="451"/>
      <c r="Z148" s="451"/>
      <c r="AA148" s="456"/>
      <c r="AB148" s="451">
        <v>1124532.1299999999</v>
      </c>
      <c r="AC148" s="451">
        <v>175037.90407821862</v>
      </c>
      <c r="AD148" s="451">
        <v>245.05306570950606</v>
      </c>
      <c r="AE148" s="457">
        <v>175282.95714392813</v>
      </c>
      <c r="AF148" s="451">
        <v>-46885.011587762157</v>
      </c>
      <c r="AG148" s="451">
        <v>222167.96873169029</v>
      </c>
      <c r="AH148" s="451">
        <v>175037.90407821862</v>
      </c>
      <c r="AI148" s="451">
        <v>51856.591308993084</v>
      </c>
      <c r="AJ148" s="451">
        <v>245.05306570950606</v>
      </c>
      <c r="AK148" s="462"/>
      <c r="AL148" s="453" t="s">
        <v>108</v>
      </c>
      <c r="AM148" s="451">
        <v>175282.95714392813</v>
      </c>
      <c r="AN148" s="453" t="s">
        <v>108</v>
      </c>
      <c r="AO148" s="453">
        <v>97</v>
      </c>
      <c r="AP148" s="453">
        <v>52</v>
      </c>
      <c r="AQ148" s="458">
        <v>0.16269038530898983</v>
      </c>
      <c r="AS148" s="459" t="s">
        <v>104</v>
      </c>
      <c r="AT148" s="453" t="s">
        <v>104</v>
      </c>
      <c r="AU148" s="464" t="s">
        <v>379</v>
      </c>
      <c r="AV148" s="460" t="s">
        <v>36</v>
      </c>
      <c r="AW148" s="453" t="s">
        <v>1430</v>
      </c>
      <c r="BA148" s="464" t="str">
        <f>_xlfn.XLOOKUP(B148,'School List from APT'!A:A,'School List from APT'!C:C,"",FALSE)</f>
        <v>St Ambrose Barlow Catholic Primary School</v>
      </c>
    </row>
    <row r="149" spans="1:53" x14ac:dyDescent="0.25">
      <c r="A149" s="453" t="s">
        <v>381</v>
      </c>
      <c r="B149" s="453">
        <v>3335</v>
      </c>
      <c r="C149" s="453">
        <v>3335</v>
      </c>
      <c r="D149" s="453" t="s">
        <v>382</v>
      </c>
      <c r="F149" s="454" t="s">
        <v>162</v>
      </c>
      <c r="G149" s="454" t="s">
        <v>36</v>
      </c>
      <c r="H149" s="451">
        <v>132089.06008545787</v>
      </c>
      <c r="I149" s="451">
        <v>0</v>
      </c>
      <c r="J149" s="455">
        <v>132089.06008545787</v>
      </c>
      <c r="K149" s="451">
        <v>1126810.3085060916</v>
      </c>
      <c r="L149" s="451">
        <v>203897.25</v>
      </c>
      <c r="M149" s="451">
        <v>0</v>
      </c>
      <c r="N149" s="451">
        <v>1330707.5585060916</v>
      </c>
      <c r="O149" s="451">
        <v>2951.8583333333336</v>
      </c>
      <c r="P149" s="451">
        <v>0</v>
      </c>
      <c r="Q149" s="451">
        <v>0</v>
      </c>
      <c r="R149" s="451">
        <v>0</v>
      </c>
      <c r="S149" s="451">
        <v>2951.8583333333336</v>
      </c>
      <c r="T149" s="451">
        <v>1333659.416839425</v>
      </c>
      <c r="U149" s="451">
        <v>0</v>
      </c>
      <c r="V149" s="451">
        <v>1465748.4769248827</v>
      </c>
      <c r="W149" s="451">
        <v>1459308.23</v>
      </c>
      <c r="X149" s="451">
        <v>0</v>
      </c>
      <c r="Y149" s="451"/>
      <c r="Z149" s="451"/>
      <c r="AA149" s="456"/>
      <c r="AB149" s="451">
        <v>1459308.23</v>
      </c>
      <c r="AC149" s="451">
        <v>6440.2469248827547</v>
      </c>
      <c r="AD149" s="451">
        <v>9.0163456948358558</v>
      </c>
      <c r="AE149" s="457">
        <v>6449.2632705775904</v>
      </c>
      <c r="AF149" s="451">
        <v>-125639.79681488028</v>
      </c>
      <c r="AG149" s="451">
        <v>132089.06008545787</v>
      </c>
      <c r="AH149" s="451">
        <v>6440.2469248827547</v>
      </c>
      <c r="AI149" s="451">
        <v>66535.37792530458</v>
      </c>
      <c r="AJ149" s="451">
        <v>9.0163456948358558</v>
      </c>
      <c r="AK149" s="462"/>
      <c r="AL149" s="453" t="s">
        <v>108</v>
      </c>
      <c r="AM149" s="451">
        <v>6449.2632705775904</v>
      </c>
      <c r="AN149" s="453" t="s">
        <v>108</v>
      </c>
      <c r="AO149" s="453">
        <v>147</v>
      </c>
      <c r="AP149" s="453">
        <v>151</v>
      </c>
      <c r="AQ149" s="458">
        <v>4.8357648055763654E-3</v>
      </c>
      <c r="AS149" s="459" t="s">
        <v>104</v>
      </c>
      <c r="AT149" s="453" t="s">
        <v>104</v>
      </c>
      <c r="AU149" s="464" t="s">
        <v>381</v>
      </c>
      <c r="AV149" s="460" t="s">
        <v>36</v>
      </c>
      <c r="AW149" s="453" t="s">
        <v>1430</v>
      </c>
      <c r="BA149" s="464" t="str">
        <f>_xlfn.XLOOKUP(B149,'School List from APT'!A:A,'School List from APT'!C:C,"",FALSE)</f>
        <v>St Anne's Catholic Primary School</v>
      </c>
    </row>
    <row r="150" spans="1:53" x14ac:dyDescent="0.25">
      <c r="A150" s="453" t="s">
        <v>383</v>
      </c>
      <c r="B150" s="453">
        <v>3329</v>
      </c>
      <c r="C150" s="453">
        <v>3329</v>
      </c>
      <c r="D150" s="453" t="s">
        <v>384</v>
      </c>
      <c r="E150" s="453" t="s">
        <v>83</v>
      </c>
      <c r="F150" s="454" t="s">
        <v>162</v>
      </c>
      <c r="G150" s="454" t="s">
        <v>36</v>
      </c>
      <c r="H150" s="451">
        <v>135091.96535869566</v>
      </c>
      <c r="I150" s="451">
        <v>0</v>
      </c>
      <c r="J150" s="455">
        <v>135091.96535869566</v>
      </c>
      <c r="K150" s="451">
        <v>1143637.5822895297</v>
      </c>
      <c r="L150" s="451">
        <v>135640.625</v>
      </c>
      <c r="M150" s="451">
        <v>144.37285714285099</v>
      </c>
      <c r="N150" s="451">
        <v>1279422.5801466727</v>
      </c>
      <c r="O150" s="451">
        <v>31256.041750000004</v>
      </c>
      <c r="P150" s="451">
        <v>0</v>
      </c>
      <c r="Q150" s="451">
        <v>0</v>
      </c>
      <c r="R150" s="451">
        <v>0</v>
      </c>
      <c r="S150" s="451">
        <v>31256.041750000004</v>
      </c>
      <c r="T150" s="451">
        <v>1310678.6218966728</v>
      </c>
      <c r="U150" s="451">
        <v>0</v>
      </c>
      <c r="V150" s="451">
        <v>1445770.5872553685</v>
      </c>
      <c r="W150" s="451">
        <v>1343311.97</v>
      </c>
      <c r="X150" s="451">
        <v>0</v>
      </c>
      <c r="Y150" s="451"/>
      <c r="Z150" s="451"/>
      <c r="AA150" s="456"/>
      <c r="AB150" s="451">
        <v>1343311.97</v>
      </c>
      <c r="AC150" s="451">
        <v>102458.6172553685</v>
      </c>
      <c r="AD150" s="451">
        <v>143.44206415751592</v>
      </c>
      <c r="AE150" s="457">
        <v>102602.05931952602</v>
      </c>
      <c r="AF150" s="451">
        <v>-32489.90603916964</v>
      </c>
      <c r="AG150" s="451">
        <v>135091.96535869566</v>
      </c>
      <c r="AH150" s="451">
        <v>102458.6172553685</v>
      </c>
      <c r="AI150" s="451">
        <v>63971.129007333635</v>
      </c>
      <c r="AJ150" s="451">
        <v>143.44206415751592</v>
      </c>
      <c r="AK150" s="462"/>
      <c r="AL150" s="453" t="s">
        <v>108</v>
      </c>
      <c r="AM150" s="451">
        <v>102602.05931952602</v>
      </c>
      <c r="AN150" s="453" t="s">
        <v>108</v>
      </c>
      <c r="AO150" s="453">
        <v>122</v>
      </c>
      <c r="AP150" s="453">
        <v>118</v>
      </c>
      <c r="AQ150" s="458">
        <v>7.8281630298548233E-2</v>
      </c>
      <c r="AS150" s="459" t="s">
        <v>104</v>
      </c>
      <c r="AT150" s="453" t="s">
        <v>104</v>
      </c>
      <c r="AU150" s="464" t="s">
        <v>383</v>
      </c>
      <c r="AV150" s="460" t="s">
        <v>36</v>
      </c>
      <c r="AW150" s="453" t="s">
        <v>1430</v>
      </c>
      <c r="BA150" s="464" t="str">
        <f>_xlfn.XLOOKUP(B150,'School List from APT'!A:A,'School List from APT'!C:C,"",FALSE)</f>
        <v>St Augustine's Catholic Primary School</v>
      </c>
    </row>
    <row r="151" spans="1:53" x14ac:dyDescent="0.25">
      <c r="A151" s="453" t="s">
        <v>385</v>
      </c>
      <c r="B151" s="453">
        <v>2183</v>
      </c>
      <c r="C151" s="453">
        <v>2183</v>
      </c>
      <c r="D151" s="453" t="s">
        <v>386</v>
      </c>
      <c r="E151" s="453" t="s">
        <v>83</v>
      </c>
      <c r="F151" s="454" t="s">
        <v>162</v>
      </c>
      <c r="G151" s="454" t="s">
        <v>36</v>
      </c>
      <c r="H151" s="451">
        <v>-505778.6004827139</v>
      </c>
      <c r="I151" s="451">
        <v>0</v>
      </c>
      <c r="J151" s="455">
        <v>-505778.6004827139</v>
      </c>
      <c r="K151" s="451">
        <v>2310890.3333953628</v>
      </c>
      <c r="L151" s="451">
        <v>300103.25</v>
      </c>
      <c r="M151" s="451">
        <v>-87826.72500000002</v>
      </c>
      <c r="N151" s="451">
        <v>2523166.8583953627</v>
      </c>
      <c r="O151" s="451">
        <v>29875.096916666662</v>
      </c>
      <c r="P151" s="451">
        <v>72091.69</v>
      </c>
      <c r="Q151" s="451">
        <v>0</v>
      </c>
      <c r="R151" s="451">
        <v>0</v>
      </c>
      <c r="S151" s="451">
        <v>101966.78691666666</v>
      </c>
      <c r="T151" s="451">
        <v>2625133.6453120294</v>
      </c>
      <c r="U151" s="451">
        <v>0</v>
      </c>
      <c r="V151" s="451">
        <v>2119355.0448293155</v>
      </c>
      <c r="W151" s="451">
        <v>2532785.75</v>
      </c>
      <c r="X151" s="451">
        <v>-9393</v>
      </c>
      <c r="Y151" s="451"/>
      <c r="Z151" s="451"/>
      <c r="AA151" s="456"/>
      <c r="AB151" s="451">
        <v>2523392.75</v>
      </c>
      <c r="AC151" s="451">
        <v>-404037.70517068449</v>
      </c>
      <c r="AD151" s="451">
        <v>0</v>
      </c>
      <c r="AE151" s="457">
        <v>-404037.70517068449</v>
      </c>
      <c r="AF151" s="451">
        <v>101740.8953120294</v>
      </c>
      <c r="AG151" s="451">
        <v>-505778.6004827139</v>
      </c>
      <c r="AH151" s="451">
        <v>0</v>
      </c>
      <c r="AI151" s="451">
        <v>0</v>
      </c>
      <c r="AJ151" s="451">
        <v>0</v>
      </c>
      <c r="AK151" s="462"/>
      <c r="AL151" s="453" t="s">
        <v>103</v>
      </c>
      <c r="AM151" s="451">
        <v>-404037.70517068449</v>
      </c>
      <c r="AN151" s="453" t="s">
        <v>103</v>
      </c>
      <c r="AO151" s="453">
        <v>168</v>
      </c>
      <c r="AP151" s="453">
        <v>166</v>
      </c>
      <c r="AQ151" s="458">
        <v>-0.15391128977079552</v>
      </c>
      <c r="AS151" s="459" t="s">
        <v>104</v>
      </c>
      <c r="AT151" s="453" t="s">
        <v>104</v>
      </c>
      <c r="AU151" s="464" t="s">
        <v>385</v>
      </c>
      <c r="AV151" s="460" t="s">
        <v>36</v>
      </c>
      <c r="AW151" s="453" t="s">
        <v>1430</v>
      </c>
      <c r="BA151" s="464" t="str">
        <f>_xlfn.XLOOKUP(B151,'School List from APT'!A:A,'School List from APT'!C:C,"",FALSE)</f>
        <v>St Benedicts</v>
      </c>
    </row>
    <row r="152" spans="1:53" x14ac:dyDescent="0.25">
      <c r="A152" s="453" t="s">
        <v>387</v>
      </c>
      <c r="B152" s="453">
        <v>3372</v>
      </c>
      <c r="C152" s="453">
        <v>3372</v>
      </c>
      <c r="D152" s="453" t="s">
        <v>388</v>
      </c>
      <c r="E152" s="453" t="s">
        <v>83</v>
      </c>
      <c r="F152" s="454" t="s">
        <v>162</v>
      </c>
      <c r="G152" s="454" t="s">
        <v>36</v>
      </c>
      <c r="H152" s="451">
        <v>258314.53249098829</v>
      </c>
      <c r="I152" s="451">
        <v>0</v>
      </c>
      <c r="J152" s="455">
        <v>258314.53249098829</v>
      </c>
      <c r="K152" s="451">
        <v>2946325.8552509183</v>
      </c>
      <c r="L152" s="451">
        <v>498989.5</v>
      </c>
      <c r="M152" s="451">
        <v>4839.0529411764874</v>
      </c>
      <c r="N152" s="451">
        <v>3450154.4081920949</v>
      </c>
      <c r="O152" s="451">
        <v>59004.370500000012</v>
      </c>
      <c r="P152" s="451">
        <v>0</v>
      </c>
      <c r="Q152" s="451">
        <v>0</v>
      </c>
      <c r="R152" s="451">
        <v>0</v>
      </c>
      <c r="S152" s="451">
        <v>59004.370500000012</v>
      </c>
      <c r="T152" s="451">
        <v>3509158.7786920951</v>
      </c>
      <c r="U152" s="451">
        <v>0</v>
      </c>
      <c r="V152" s="451">
        <v>3767473.3111830833</v>
      </c>
      <c r="W152" s="451">
        <v>3437949.52</v>
      </c>
      <c r="X152" s="451">
        <v>0</v>
      </c>
      <c r="Y152" s="451"/>
      <c r="Z152" s="451"/>
      <c r="AA152" s="456"/>
      <c r="AB152" s="451">
        <v>3437949.52</v>
      </c>
      <c r="AC152" s="451">
        <v>329523.79118308332</v>
      </c>
      <c r="AD152" s="451">
        <v>361.64034548738357</v>
      </c>
      <c r="AE152" s="457">
        <v>329885.43152857071</v>
      </c>
      <c r="AF152" s="451">
        <v>71570.899037582421</v>
      </c>
      <c r="AG152" s="451">
        <v>258314.53249098829</v>
      </c>
      <c r="AH152" s="451">
        <v>258314.53249098829</v>
      </c>
      <c r="AI152" s="451">
        <v>172507.72040960475</v>
      </c>
      <c r="AJ152" s="451">
        <v>361.64034548738357</v>
      </c>
      <c r="AK152" s="462"/>
      <c r="AL152" s="453" t="s">
        <v>108</v>
      </c>
      <c r="AM152" s="451">
        <v>329885.43152857071</v>
      </c>
      <c r="AN152" s="453" t="s">
        <v>108</v>
      </c>
      <c r="AO152" s="453">
        <v>52</v>
      </c>
      <c r="AP152" s="453">
        <v>105</v>
      </c>
      <c r="AQ152" s="458">
        <v>9.4006983534533281E-2</v>
      </c>
      <c r="AS152" s="459" t="s">
        <v>104</v>
      </c>
      <c r="AT152" s="453" t="s">
        <v>104</v>
      </c>
      <c r="AU152" s="464" t="s">
        <v>387</v>
      </c>
      <c r="AV152" s="460" t="s">
        <v>36</v>
      </c>
      <c r="AW152" s="453" t="s">
        <v>1430</v>
      </c>
      <c r="BA152" s="464" t="str">
        <f>_xlfn.XLOOKUP(B152,'School List from APT'!A:A,'School List from APT'!C:C,"",FALSE)</f>
        <v>St Bernadette's Catholic Primary School</v>
      </c>
    </row>
    <row r="153" spans="1:53" x14ac:dyDescent="0.25">
      <c r="A153" s="453" t="s">
        <v>389</v>
      </c>
      <c r="B153" s="453">
        <v>3375</v>
      </c>
      <c r="C153" s="453">
        <v>3375</v>
      </c>
      <c r="D153" s="453" t="s">
        <v>390</v>
      </c>
      <c r="F153" s="454" t="s">
        <v>162</v>
      </c>
      <c r="G153" s="454" t="s">
        <v>36</v>
      </c>
      <c r="H153" s="451">
        <v>259307.17655376546</v>
      </c>
      <c r="I153" s="451">
        <v>0</v>
      </c>
      <c r="J153" s="455">
        <v>259307.17655376546</v>
      </c>
      <c r="K153" s="451">
        <v>1849660.3857998706</v>
      </c>
      <c r="L153" s="451">
        <v>260962</v>
      </c>
      <c r="M153" s="451">
        <v>0</v>
      </c>
      <c r="N153" s="451">
        <v>2110622.3857998708</v>
      </c>
      <c r="O153" s="451">
        <v>20822.083333333336</v>
      </c>
      <c r="P153" s="451">
        <v>0</v>
      </c>
      <c r="Q153" s="451">
        <v>0</v>
      </c>
      <c r="R153" s="451">
        <v>0</v>
      </c>
      <c r="S153" s="451">
        <v>20822.083333333336</v>
      </c>
      <c r="T153" s="451">
        <v>2131444.4691332043</v>
      </c>
      <c r="U153" s="451">
        <v>0</v>
      </c>
      <c r="V153" s="451">
        <v>2390751.6456869696</v>
      </c>
      <c r="W153" s="451">
        <v>2139274.58</v>
      </c>
      <c r="X153" s="451">
        <v>0</v>
      </c>
      <c r="Y153" s="451"/>
      <c r="Z153" s="451"/>
      <c r="AA153" s="456"/>
      <c r="AB153" s="451">
        <v>2139274.58</v>
      </c>
      <c r="AC153" s="451">
        <v>251477.06568696955</v>
      </c>
      <c r="AD153" s="451">
        <v>352.06789196175737</v>
      </c>
      <c r="AE153" s="457">
        <v>251829.1335789313</v>
      </c>
      <c r="AF153" s="451">
        <v>-7478.0429748341558</v>
      </c>
      <c r="AG153" s="451">
        <v>259307.17655376546</v>
      </c>
      <c r="AH153" s="451">
        <v>251477.06568696955</v>
      </c>
      <c r="AI153" s="451">
        <v>105531.11928999354</v>
      </c>
      <c r="AJ153" s="451">
        <v>352.06789196175737</v>
      </c>
      <c r="AK153" s="462"/>
      <c r="AL153" s="453" t="s">
        <v>108</v>
      </c>
      <c r="AM153" s="451">
        <v>251829.1335789313</v>
      </c>
      <c r="AN153" s="453" t="s">
        <v>108</v>
      </c>
      <c r="AO153" s="453">
        <v>76</v>
      </c>
      <c r="AP153" s="453">
        <v>89</v>
      </c>
      <c r="AQ153" s="458">
        <v>0.11814951654890769</v>
      </c>
      <c r="AS153" s="459" t="s">
        <v>104</v>
      </c>
      <c r="AT153" s="453" t="s">
        <v>104</v>
      </c>
      <c r="AU153" s="464" t="s">
        <v>389</v>
      </c>
      <c r="AV153" s="460" t="s">
        <v>36</v>
      </c>
      <c r="AW153" s="453" t="s">
        <v>1430</v>
      </c>
      <c r="BA153" s="464" t="str">
        <f>_xlfn.XLOOKUP(B153,'School List from APT'!A:A,'School List from APT'!C:C,"",FALSE)</f>
        <v>St Bernard's Catholic Primary School</v>
      </c>
    </row>
    <row r="154" spans="1:53" x14ac:dyDescent="0.25">
      <c r="A154" s="453" t="s">
        <v>391</v>
      </c>
      <c r="B154" s="453">
        <v>3331</v>
      </c>
      <c r="C154" s="453">
        <v>3331</v>
      </c>
      <c r="D154" s="453" t="s">
        <v>392</v>
      </c>
      <c r="E154" s="453" t="s">
        <v>83</v>
      </c>
      <c r="F154" s="454" t="s">
        <v>162</v>
      </c>
      <c r="G154" s="454" t="s">
        <v>36</v>
      </c>
      <c r="H154" s="451">
        <v>89748.424586390305</v>
      </c>
      <c r="I154" s="451">
        <v>0</v>
      </c>
      <c r="J154" s="455">
        <v>89748.424586390305</v>
      </c>
      <c r="K154" s="451">
        <v>1187385.2599078268</v>
      </c>
      <c r="L154" s="451">
        <v>173899.625</v>
      </c>
      <c r="M154" s="451">
        <v>26269.690909090903</v>
      </c>
      <c r="N154" s="451">
        <v>1387554.5758169177</v>
      </c>
      <c r="O154" s="451">
        <v>18933.736166666666</v>
      </c>
      <c r="P154" s="451">
        <v>0</v>
      </c>
      <c r="Q154" s="451">
        <v>0</v>
      </c>
      <c r="R154" s="451">
        <v>0</v>
      </c>
      <c r="S154" s="451">
        <v>18933.736166666666</v>
      </c>
      <c r="T154" s="451">
        <v>1406488.3119835844</v>
      </c>
      <c r="U154" s="451">
        <v>0</v>
      </c>
      <c r="V154" s="451">
        <v>1496236.7365699748</v>
      </c>
      <c r="W154" s="451">
        <v>1400796.75</v>
      </c>
      <c r="X154" s="451">
        <v>0</v>
      </c>
      <c r="Y154" s="451"/>
      <c r="Z154" s="451"/>
      <c r="AA154" s="456"/>
      <c r="AB154" s="451">
        <v>1400796.75</v>
      </c>
      <c r="AC154" s="451">
        <v>95439.986569974804</v>
      </c>
      <c r="AD154" s="451">
        <v>125.64779442094641</v>
      </c>
      <c r="AE154" s="457">
        <v>95565.634364395752</v>
      </c>
      <c r="AF154" s="451">
        <v>5817.2097780054464</v>
      </c>
      <c r="AG154" s="451">
        <v>89748.424586390305</v>
      </c>
      <c r="AH154" s="451">
        <v>89748.424586390305</v>
      </c>
      <c r="AI154" s="451">
        <v>69377.728790845882</v>
      </c>
      <c r="AJ154" s="451">
        <v>125.64779442094641</v>
      </c>
      <c r="AK154" s="462"/>
      <c r="AL154" s="453" t="s">
        <v>108</v>
      </c>
      <c r="AM154" s="451">
        <v>95565.634364395752</v>
      </c>
      <c r="AN154" s="453" t="s">
        <v>108</v>
      </c>
      <c r="AO154" s="453">
        <v>124</v>
      </c>
      <c r="AP154" s="453">
        <v>123</v>
      </c>
      <c r="AQ154" s="458">
        <v>6.794626983399428E-2</v>
      </c>
      <c r="AS154" s="459" t="s">
        <v>104</v>
      </c>
      <c r="AT154" s="453" t="s">
        <v>104</v>
      </c>
      <c r="AU154" s="464" t="s">
        <v>391</v>
      </c>
      <c r="AV154" s="460" t="s">
        <v>36</v>
      </c>
      <c r="AW154" s="453" t="s">
        <v>1430</v>
      </c>
      <c r="BA154" s="464" t="str">
        <f>_xlfn.XLOOKUP(B154,'School List from APT'!A:A,'School List from APT'!C:C,"",FALSE)</f>
        <v>St Catherine of Siena Catholic Primary School</v>
      </c>
    </row>
    <row r="155" spans="1:53" x14ac:dyDescent="0.25">
      <c r="A155" s="453" t="s">
        <v>393</v>
      </c>
      <c r="B155" s="453">
        <v>3337</v>
      </c>
      <c r="C155" s="453">
        <v>3337</v>
      </c>
      <c r="D155" s="453" t="s">
        <v>394</v>
      </c>
      <c r="E155" s="453"/>
      <c r="F155" s="454" t="s">
        <v>857</v>
      </c>
      <c r="G155" s="454" t="s">
        <v>36</v>
      </c>
      <c r="H155" s="451">
        <v>160374.71908149883</v>
      </c>
      <c r="I155" s="451">
        <v>0</v>
      </c>
      <c r="J155" s="455">
        <v>160374.71908149883</v>
      </c>
      <c r="K155" s="451">
        <v>452678.03301900008</v>
      </c>
      <c r="L155" s="451">
        <v>98003.583333333328</v>
      </c>
      <c r="M155" s="451">
        <v>0</v>
      </c>
      <c r="N155" s="451">
        <v>550681.61635233345</v>
      </c>
      <c r="O155" s="451">
        <v>9782.9541666666664</v>
      </c>
      <c r="P155" s="451">
        <v>0</v>
      </c>
      <c r="Q155" s="451">
        <v>0</v>
      </c>
      <c r="R155" s="451">
        <v>0</v>
      </c>
      <c r="S155" s="451">
        <v>9782.9541666666664</v>
      </c>
      <c r="T155" s="451">
        <v>560464.57051900018</v>
      </c>
      <c r="U155" s="451">
        <v>0</v>
      </c>
      <c r="V155" s="451">
        <v>720839.28960049897</v>
      </c>
      <c r="W155" s="451">
        <v>715143.92</v>
      </c>
      <c r="X155" s="451">
        <v>0</v>
      </c>
      <c r="Y155" s="451"/>
      <c r="Z155" s="451"/>
      <c r="AA155" s="456"/>
      <c r="AB155" s="451">
        <v>715143.92</v>
      </c>
      <c r="AC155" s="451">
        <v>5695.3696004989324</v>
      </c>
      <c r="AD155" s="451">
        <v>7.9735174406985054</v>
      </c>
      <c r="AE155" s="457">
        <v>5703.3431179396312</v>
      </c>
      <c r="AF155" s="451">
        <v>-154671.3759635592</v>
      </c>
      <c r="AG155" s="451">
        <v>160374.71908149883</v>
      </c>
      <c r="AH155" s="451">
        <v>5695.3696004989324</v>
      </c>
      <c r="AI155" s="451">
        <v>27534.080817616676</v>
      </c>
      <c r="AJ155" s="451">
        <v>7.9735174406985054</v>
      </c>
      <c r="AK155" s="462"/>
      <c r="AL155" s="453" t="s">
        <v>1432</v>
      </c>
      <c r="AM155" s="451">
        <v>5703.3431179396312</v>
      </c>
      <c r="AN155" s="453" t="s">
        <v>1432</v>
      </c>
      <c r="AO155" s="453">
        <v>148</v>
      </c>
      <c r="AP155" s="453">
        <v>148</v>
      </c>
      <c r="AQ155" s="458">
        <v>1.017609928966292E-2</v>
      </c>
      <c r="AR155" s="453"/>
      <c r="AS155" s="459" t="s">
        <v>104</v>
      </c>
      <c r="AT155" s="453" t="s">
        <v>104</v>
      </c>
      <c r="AU155" s="453" t="s">
        <v>393</v>
      </c>
      <c r="AV155" s="460" t="s">
        <v>36</v>
      </c>
      <c r="AW155" s="453" t="s">
        <v>1433</v>
      </c>
      <c r="BA155" s="464" t="str">
        <f>_xlfn.XLOOKUP(B155,'School List from APT'!A:A,'School List from APT'!C:C,"",FALSE)</f>
        <v>St Chad's Catholic Primary School</v>
      </c>
    </row>
    <row r="156" spans="1:53" x14ac:dyDescent="0.25">
      <c r="A156" s="453" t="s">
        <v>395</v>
      </c>
      <c r="B156" s="453">
        <v>3406</v>
      </c>
      <c r="C156" s="453">
        <v>3406</v>
      </c>
      <c r="D156" s="453" t="s">
        <v>396</v>
      </c>
      <c r="E156" s="453" t="s">
        <v>83</v>
      </c>
      <c r="F156" s="454" t="s">
        <v>162</v>
      </c>
      <c r="G156" s="454" t="s">
        <v>36</v>
      </c>
      <c r="H156" s="451">
        <v>377875.15466236923</v>
      </c>
      <c r="I156" s="451">
        <v>0</v>
      </c>
      <c r="J156" s="455">
        <v>377875.15466236923</v>
      </c>
      <c r="K156" s="451">
        <v>1507593.6282146515</v>
      </c>
      <c r="L156" s="451">
        <v>263455.625</v>
      </c>
      <c r="M156" s="451">
        <v>16017.136363636353</v>
      </c>
      <c r="N156" s="451">
        <v>1787066.389578288</v>
      </c>
      <c r="O156" s="451">
        <v>29401.149999999998</v>
      </c>
      <c r="P156" s="451">
        <v>0</v>
      </c>
      <c r="Q156" s="451">
        <v>0</v>
      </c>
      <c r="R156" s="451">
        <v>0</v>
      </c>
      <c r="S156" s="451">
        <v>29401.149999999998</v>
      </c>
      <c r="T156" s="451">
        <v>1816467.5395782879</v>
      </c>
      <c r="U156" s="451">
        <v>0</v>
      </c>
      <c r="V156" s="451">
        <v>2194342.6942406571</v>
      </c>
      <c r="W156" s="451">
        <v>1840286.31</v>
      </c>
      <c r="X156" s="451">
        <v>0</v>
      </c>
      <c r="Y156" s="451"/>
      <c r="Z156" s="451"/>
      <c r="AA156" s="456"/>
      <c r="AB156" s="451">
        <v>1840286.31</v>
      </c>
      <c r="AC156" s="451">
        <v>354056.38424065709</v>
      </c>
      <c r="AD156" s="451">
        <v>495.67893793691997</v>
      </c>
      <c r="AE156" s="457">
        <v>354552.06317859399</v>
      </c>
      <c r="AF156" s="451">
        <v>-23323.091483775235</v>
      </c>
      <c r="AG156" s="451">
        <v>377875.15466236923</v>
      </c>
      <c r="AH156" s="451">
        <v>354056.38424065709</v>
      </c>
      <c r="AI156" s="451">
        <v>89353.319478914404</v>
      </c>
      <c r="AJ156" s="451">
        <v>495.67893793691997</v>
      </c>
      <c r="AK156" s="462"/>
      <c r="AL156" s="453" t="s">
        <v>108</v>
      </c>
      <c r="AM156" s="451">
        <v>354552.06317859399</v>
      </c>
      <c r="AN156" s="453" t="s">
        <v>108</v>
      </c>
      <c r="AO156" s="453">
        <v>43</v>
      </c>
      <c r="AP156" s="453">
        <v>39</v>
      </c>
      <c r="AQ156" s="458">
        <v>0.19518766807190344</v>
      </c>
      <c r="AS156" s="459" t="s">
        <v>104</v>
      </c>
      <c r="AT156" s="453" t="s">
        <v>104</v>
      </c>
      <c r="AU156" s="464" t="s">
        <v>395</v>
      </c>
      <c r="AV156" s="460" t="s">
        <v>36</v>
      </c>
      <c r="AW156" s="453" t="s">
        <v>1430</v>
      </c>
      <c r="BA156" s="464" t="str">
        <f>_xlfn.XLOOKUP(B156,'School List from APT'!A:A,'School List from APT'!C:C,"",FALSE)</f>
        <v>St Clare's Catholic Primary School</v>
      </c>
    </row>
    <row r="157" spans="1:53" x14ac:dyDescent="0.25">
      <c r="A157" s="453" t="s">
        <v>397</v>
      </c>
      <c r="B157" s="453">
        <v>3386</v>
      </c>
      <c r="C157" s="453">
        <v>3386</v>
      </c>
      <c r="D157" s="453" t="s">
        <v>398</v>
      </c>
      <c r="E157" s="453" t="s">
        <v>83</v>
      </c>
      <c r="F157" s="454" t="s">
        <v>162</v>
      </c>
      <c r="G157" s="454" t="s">
        <v>36</v>
      </c>
      <c r="H157" s="451">
        <v>168543.27511233531</v>
      </c>
      <c r="I157" s="451">
        <v>0</v>
      </c>
      <c r="J157" s="455">
        <v>168543.27511233531</v>
      </c>
      <c r="K157" s="451">
        <v>1206080.4993881702</v>
      </c>
      <c r="L157" s="451">
        <v>172582</v>
      </c>
      <c r="M157" s="451">
        <v>-30126.749999999985</v>
      </c>
      <c r="N157" s="451">
        <v>1348535.7493881702</v>
      </c>
      <c r="O157" s="451">
        <v>52483.155833333331</v>
      </c>
      <c r="P157" s="451">
        <v>0</v>
      </c>
      <c r="Q157" s="451">
        <v>0</v>
      </c>
      <c r="R157" s="451">
        <v>0</v>
      </c>
      <c r="S157" s="451">
        <v>52483.155833333331</v>
      </c>
      <c r="T157" s="451">
        <v>1401018.9052215035</v>
      </c>
      <c r="U157" s="451">
        <v>0</v>
      </c>
      <c r="V157" s="451">
        <v>1569562.1803338388</v>
      </c>
      <c r="W157" s="451">
        <v>1437759.95</v>
      </c>
      <c r="X157" s="451">
        <v>0</v>
      </c>
      <c r="Y157" s="451"/>
      <c r="Z157" s="451"/>
      <c r="AA157" s="456"/>
      <c r="AB157" s="451">
        <v>1437759.95</v>
      </c>
      <c r="AC157" s="451">
        <v>131802.23033383884</v>
      </c>
      <c r="AD157" s="451">
        <v>184.52312246737438</v>
      </c>
      <c r="AE157" s="457">
        <v>131986.75345630621</v>
      </c>
      <c r="AF157" s="451">
        <v>-36556.521656029101</v>
      </c>
      <c r="AG157" s="451">
        <v>168543.27511233531</v>
      </c>
      <c r="AH157" s="451">
        <v>131802.23033383884</v>
      </c>
      <c r="AI157" s="451">
        <v>67426.787469408519</v>
      </c>
      <c r="AJ157" s="451">
        <v>184.52312246737438</v>
      </c>
      <c r="AK157" s="462"/>
      <c r="AL157" s="453" t="s">
        <v>108</v>
      </c>
      <c r="AM157" s="451">
        <v>131986.75345630621</v>
      </c>
      <c r="AN157" s="453" t="s">
        <v>108</v>
      </c>
      <c r="AO157" s="453">
        <v>109</v>
      </c>
      <c r="AP157" s="453">
        <v>104</v>
      </c>
      <c r="AQ157" s="458">
        <v>9.4207689107120851E-2</v>
      </c>
      <c r="AS157" s="459" t="s">
        <v>104</v>
      </c>
      <c r="AT157" s="453" t="s">
        <v>104</v>
      </c>
      <c r="AU157" s="464" t="s">
        <v>397</v>
      </c>
      <c r="AV157" s="460" t="s">
        <v>36</v>
      </c>
      <c r="AW157" s="453" t="s">
        <v>1430</v>
      </c>
      <c r="BA157" s="464" t="str">
        <f>_xlfn.XLOOKUP(B157,'School List from APT'!A:A,'School List from APT'!C:C,"",FALSE)</f>
        <v>St Cuthbert's RC Junior and Infant (NC) School</v>
      </c>
    </row>
    <row r="158" spans="1:53" x14ac:dyDescent="0.25">
      <c r="A158" s="453" t="s">
        <v>399</v>
      </c>
      <c r="B158" s="453">
        <v>3363</v>
      </c>
      <c r="C158" s="453">
        <v>3363</v>
      </c>
      <c r="D158" s="453" t="s">
        <v>400</v>
      </c>
      <c r="E158" s="453" t="s">
        <v>83</v>
      </c>
      <c r="F158" s="454" t="s">
        <v>162</v>
      </c>
      <c r="G158" s="454" t="s">
        <v>107</v>
      </c>
      <c r="H158" s="451">
        <v>388185.39987677056</v>
      </c>
      <c r="I158" s="451">
        <v>-21979.49987677054</v>
      </c>
      <c r="J158" s="455">
        <v>366205.9</v>
      </c>
      <c r="K158" s="451">
        <v>1708848.0868138433</v>
      </c>
      <c r="L158" s="451">
        <v>255112.75</v>
      </c>
      <c r="M158" s="451">
        <v>6656.792307692318</v>
      </c>
      <c r="N158" s="451">
        <v>1970617.6291215357</v>
      </c>
      <c r="O158" s="451">
        <v>17317.014583333334</v>
      </c>
      <c r="P158" s="451">
        <v>0</v>
      </c>
      <c r="Q158" s="451">
        <v>0</v>
      </c>
      <c r="R158" s="451">
        <v>0</v>
      </c>
      <c r="S158" s="451">
        <v>17317.014583333334</v>
      </c>
      <c r="T158" s="451">
        <v>1987934.6437048691</v>
      </c>
      <c r="U158" s="451">
        <v>0</v>
      </c>
      <c r="V158" s="451">
        <v>2354140.5437048692</v>
      </c>
      <c r="W158" s="451">
        <v>2091629.73</v>
      </c>
      <c r="X158" s="451">
        <v>0</v>
      </c>
      <c r="Y158" s="451"/>
      <c r="Z158" s="451"/>
      <c r="AA158" s="456"/>
      <c r="AB158" s="451">
        <v>2091629.73</v>
      </c>
      <c r="AC158" s="451">
        <v>262510.81370486924</v>
      </c>
      <c r="AD158" s="451">
        <v>0</v>
      </c>
      <c r="AE158" s="457">
        <v>262510.81370486924</v>
      </c>
      <c r="AF158" s="451">
        <v>-103695.08629513078</v>
      </c>
      <c r="AG158" s="451">
        <v>366205.9</v>
      </c>
      <c r="AH158" s="451">
        <v>0</v>
      </c>
      <c r="AI158" s="451">
        <v>0</v>
      </c>
      <c r="AJ158" s="451">
        <v>0</v>
      </c>
      <c r="AK158" s="462"/>
      <c r="AL158" s="453" t="s">
        <v>108</v>
      </c>
      <c r="AM158" s="451">
        <v>262510.81370486924</v>
      </c>
      <c r="AN158" s="453" t="s">
        <v>108</v>
      </c>
      <c r="AO158" s="453">
        <v>72</v>
      </c>
      <c r="AP158" s="453">
        <v>74</v>
      </c>
      <c r="AQ158" s="458">
        <v>0.13205203427394058</v>
      </c>
      <c r="AS158" s="459" t="s">
        <v>104</v>
      </c>
      <c r="AT158" s="453" t="s">
        <v>109</v>
      </c>
      <c r="AU158" s="464" t="s">
        <v>399</v>
      </c>
      <c r="AV158" s="460" t="s">
        <v>36</v>
      </c>
      <c r="AW158" s="453" t="s">
        <v>1431</v>
      </c>
      <c r="BA158" s="464" t="str">
        <f>_xlfn.XLOOKUP(B158,'School List from APT'!A:A,'School List from APT'!C:C,"",FALSE)</f>
        <v>St Dunstan's Catholic Primary School</v>
      </c>
    </row>
    <row r="159" spans="1:53" x14ac:dyDescent="0.25">
      <c r="A159" s="453" t="s">
        <v>401</v>
      </c>
      <c r="B159" s="453">
        <v>3347</v>
      </c>
      <c r="C159" s="453">
        <v>3347</v>
      </c>
      <c r="D159" s="453" t="s">
        <v>402</v>
      </c>
      <c r="E159" s="453" t="s">
        <v>83</v>
      </c>
      <c r="F159" s="454" t="s">
        <v>162</v>
      </c>
      <c r="G159" s="454" t="s">
        <v>36</v>
      </c>
      <c r="H159" s="451">
        <v>32610.61203208263</v>
      </c>
      <c r="I159" s="451">
        <v>0</v>
      </c>
      <c r="J159" s="455">
        <v>32610.61203208263</v>
      </c>
      <c r="K159" s="451">
        <v>1142902.7949569128</v>
      </c>
      <c r="L159" s="451">
        <v>248232.125</v>
      </c>
      <c r="M159" s="451">
        <v>-12739.400000000009</v>
      </c>
      <c r="N159" s="451">
        <v>1378395.5199569128</v>
      </c>
      <c r="O159" s="451">
        <v>22108.322</v>
      </c>
      <c r="P159" s="451">
        <v>0</v>
      </c>
      <c r="Q159" s="451">
        <v>0</v>
      </c>
      <c r="R159" s="451">
        <v>0</v>
      </c>
      <c r="S159" s="451">
        <v>22108.322</v>
      </c>
      <c r="T159" s="451">
        <v>1400503.8419569128</v>
      </c>
      <c r="U159" s="451">
        <v>0</v>
      </c>
      <c r="V159" s="451">
        <v>1433114.4539889954</v>
      </c>
      <c r="W159" s="451">
        <v>1350156.13</v>
      </c>
      <c r="X159" s="451">
        <v>0</v>
      </c>
      <c r="Y159" s="451"/>
      <c r="Z159" s="451"/>
      <c r="AA159" s="456"/>
      <c r="AB159" s="451">
        <v>1350156.13</v>
      </c>
      <c r="AC159" s="451">
        <v>82958.323988995515</v>
      </c>
      <c r="AD159" s="451">
        <v>45.654856844915685</v>
      </c>
      <c r="AE159" s="457">
        <v>83003.978845840436</v>
      </c>
      <c r="AF159" s="451">
        <v>50393.366813757806</v>
      </c>
      <c r="AG159" s="451">
        <v>32610.61203208263</v>
      </c>
      <c r="AH159" s="451">
        <v>32610.61203208263</v>
      </c>
      <c r="AI159" s="451">
        <v>68919.775997845645</v>
      </c>
      <c r="AJ159" s="451">
        <v>45.654856844915685</v>
      </c>
      <c r="AK159" s="462"/>
      <c r="AL159" s="453" t="s">
        <v>108</v>
      </c>
      <c r="AM159" s="451">
        <v>83003.978845840436</v>
      </c>
      <c r="AN159" s="453" t="s">
        <v>108</v>
      </c>
      <c r="AO159" s="453">
        <v>129</v>
      </c>
      <c r="AP159" s="453">
        <v>128</v>
      </c>
      <c r="AQ159" s="458">
        <v>5.9267226807360733E-2</v>
      </c>
      <c r="AS159" s="459" t="s">
        <v>104</v>
      </c>
      <c r="AT159" s="453" t="s">
        <v>104</v>
      </c>
      <c r="AU159" s="464" t="s">
        <v>401</v>
      </c>
      <c r="AV159" s="460" t="s">
        <v>36</v>
      </c>
      <c r="AW159" s="453" t="s">
        <v>1430</v>
      </c>
      <c r="BA159" s="464" t="str">
        <f>_xlfn.XLOOKUP(B159,'School List from APT'!A:A,'School List from APT'!C:C,"",FALSE)</f>
        <v>St Edmund's Catholic Primary School</v>
      </c>
    </row>
    <row r="160" spans="1:53" x14ac:dyDescent="0.25">
      <c r="A160" s="453" t="s">
        <v>403</v>
      </c>
      <c r="B160" s="453">
        <v>3355</v>
      </c>
      <c r="C160" s="453">
        <v>3355</v>
      </c>
      <c r="D160" s="453" t="s">
        <v>404</v>
      </c>
      <c r="F160" s="454" t="s">
        <v>162</v>
      </c>
      <c r="G160" s="454" t="s">
        <v>36</v>
      </c>
      <c r="H160" s="451">
        <v>59150.679935927736</v>
      </c>
      <c r="I160" s="451">
        <v>0</v>
      </c>
      <c r="J160" s="455">
        <v>59150.679935927736</v>
      </c>
      <c r="K160" s="451">
        <v>1725351.4133227076</v>
      </c>
      <c r="L160" s="451">
        <v>249597.625</v>
      </c>
      <c r="M160" s="451">
        <v>0</v>
      </c>
      <c r="N160" s="451">
        <v>1974949.0383227076</v>
      </c>
      <c r="O160" s="451">
        <v>54774.449666666667</v>
      </c>
      <c r="P160" s="451">
        <v>0</v>
      </c>
      <c r="Q160" s="451">
        <v>0</v>
      </c>
      <c r="R160" s="451">
        <v>0</v>
      </c>
      <c r="S160" s="451">
        <v>54774.449666666667</v>
      </c>
      <c r="T160" s="451">
        <v>2029723.4879893742</v>
      </c>
      <c r="U160" s="451">
        <v>0</v>
      </c>
      <c r="V160" s="451">
        <v>2088874.1679253019</v>
      </c>
      <c r="W160" s="451">
        <v>1929946.46</v>
      </c>
      <c r="X160" s="451">
        <v>0</v>
      </c>
      <c r="Y160" s="451"/>
      <c r="Z160" s="451"/>
      <c r="AA160" s="456"/>
      <c r="AB160" s="451">
        <v>1929946.46</v>
      </c>
      <c r="AC160" s="451">
        <v>158927.70792530198</v>
      </c>
      <c r="AD160" s="451">
        <v>82.810951910298826</v>
      </c>
      <c r="AE160" s="457">
        <v>159010.51887721228</v>
      </c>
      <c r="AF160" s="451">
        <v>99859.838941284543</v>
      </c>
      <c r="AG160" s="451">
        <v>59150.679935927736</v>
      </c>
      <c r="AH160" s="451">
        <v>59150.679935927736</v>
      </c>
      <c r="AI160" s="451">
        <v>98747.451916135382</v>
      </c>
      <c r="AJ160" s="451">
        <v>82.810951910298826</v>
      </c>
      <c r="AK160" s="462"/>
      <c r="AL160" s="453" t="s">
        <v>108</v>
      </c>
      <c r="AM160" s="451">
        <v>159010.51887721228</v>
      </c>
      <c r="AN160" s="453" t="s">
        <v>108</v>
      </c>
      <c r="AO160" s="453">
        <v>101</v>
      </c>
      <c r="AP160" s="453">
        <v>117</v>
      </c>
      <c r="AQ160" s="458">
        <v>7.834097591033283E-2</v>
      </c>
      <c r="AS160" s="459" t="s">
        <v>104</v>
      </c>
      <c r="AT160" s="453" t="s">
        <v>104</v>
      </c>
      <c r="AU160" s="464" t="s">
        <v>403</v>
      </c>
      <c r="AV160" s="460" t="s">
        <v>36</v>
      </c>
      <c r="AW160" s="453" t="s">
        <v>1430</v>
      </c>
      <c r="BA160" s="464" t="str">
        <f>_xlfn.XLOOKUP(B160,'School List from APT'!A:A,'School List from APT'!C:C,"",FALSE)</f>
        <v>St Edward's Catholic Primary School</v>
      </c>
    </row>
    <row r="161" spans="1:53" x14ac:dyDescent="0.25">
      <c r="A161" s="453" t="s">
        <v>405</v>
      </c>
      <c r="B161" s="453">
        <v>3342</v>
      </c>
      <c r="C161" s="453">
        <v>3342</v>
      </c>
      <c r="D161" s="453" t="s">
        <v>406</v>
      </c>
      <c r="F161" s="454" t="s">
        <v>162</v>
      </c>
      <c r="G161" s="454" t="s">
        <v>36</v>
      </c>
      <c r="H161" s="451">
        <v>313265.58097552712</v>
      </c>
      <c r="I161" s="451">
        <v>0</v>
      </c>
      <c r="J161" s="455">
        <v>313265.58097552712</v>
      </c>
      <c r="K161" s="451">
        <v>2068673.9319560057</v>
      </c>
      <c r="L161" s="451">
        <v>428217.125</v>
      </c>
      <c r="M161" s="451">
        <v>0</v>
      </c>
      <c r="N161" s="451">
        <v>2496891.0569560057</v>
      </c>
      <c r="O161" s="451">
        <v>43321.820749999999</v>
      </c>
      <c r="P161" s="451">
        <v>0</v>
      </c>
      <c r="Q161" s="451">
        <v>0</v>
      </c>
      <c r="R161" s="451">
        <v>0</v>
      </c>
      <c r="S161" s="451">
        <v>43321.820749999999</v>
      </c>
      <c r="T161" s="451">
        <v>2540212.8777060057</v>
      </c>
      <c r="U161" s="451">
        <v>0</v>
      </c>
      <c r="V161" s="451">
        <v>2853478.4586815326</v>
      </c>
      <c r="W161" s="451">
        <v>2511831.21</v>
      </c>
      <c r="X161" s="451">
        <v>0</v>
      </c>
      <c r="Y161" s="451"/>
      <c r="Z161" s="451"/>
      <c r="AA161" s="456"/>
      <c r="AB161" s="451">
        <v>2511831.21</v>
      </c>
      <c r="AC161" s="451">
        <v>341647.24868153268</v>
      </c>
      <c r="AD161" s="451">
        <v>438.57181336573797</v>
      </c>
      <c r="AE161" s="457">
        <v>342085.82049489842</v>
      </c>
      <c r="AF161" s="451">
        <v>28820.239519371302</v>
      </c>
      <c r="AG161" s="451">
        <v>313265.58097552712</v>
      </c>
      <c r="AH161" s="451">
        <v>313265.58097552712</v>
      </c>
      <c r="AI161" s="451">
        <v>124844.5528478003</v>
      </c>
      <c r="AJ161" s="451">
        <v>438.57181336573797</v>
      </c>
      <c r="AK161" s="462"/>
      <c r="AL161" s="453" t="s">
        <v>108</v>
      </c>
      <c r="AM161" s="451">
        <v>342085.82049489842</v>
      </c>
      <c r="AN161" s="453" t="s">
        <v>108</v>
      </c>
      <c r="AO161" s="453">
        <v>49</v>
      </c>
      <c r="AP161" s="453">
        <v>72</v>
      </c>
      <c r="AQ161" s="458">
        <v>0.13466817033217565</v>
      </c>
      <c r="AS161" s="459" t="s">
        <v>104</v>
      </c>
      <c r="AT161" s="453" t="s">
        <v>104</v>
      </c>
      <c r="AU161" s="464" t="s">
        <v>405</v>
      </c>
      <c r="AV161" s="460" t="s">
        <v>36</v>
      </c>
      <c r="AW161" s="453" t="s">
        <v>1430</v>
      </c>
      <c r="BA161" s="464" t="str">
        <f>_xlfn.XLOOKUP(B161,'School List from APT'!A:A,'School List from APT'!C:C,"",FALSE)</f>
        <v>St Francis Catholic Primary School</v>
      </c>
    </row>
    <row r="162" spans="1:53" x14ac:dyDescent="0.25">
      <c r="A162" s="453" t="s">
        <v>407</v>
      </c>
      <c r="B162" s="453">
        <v>3367</v>
      </c>
      <c r="C162" s="453">
        <v>3367</v>
      </c>
      <c r="D162" s="453" t="s">
        <v>408</v>
      </c>
      <c r="E162" s="453" t="s">
        <v>83</v>
      </c>
      <c r="F162" s="454" t="s">
        <v>162</v>
      </c>
      <c r="G162" s="454" t="s">
        <v>36</v>
      </c>
      <c r="H162" s="451">
        <v>331734.95631954499</v>
      </c>
      <c r="I162" s="451">
        <v>0</v>
      </c>
      <c r="J162" s="455">
        <v>331734.95631954499</v>
      </c>
      <c r="K162" s="451">
        <v>1167921.1508533009</v>
      </c>
      <c r="L162" s="451">
        <v>165963.75</v>
      </c>
      <c r="M162" s="451">
        <v>-6951.7499999999709</v>
      </c>
      <c r="N162" s="451">
        <v>1326933.1508533009</v>
      </c>
      <c r="O162" s="451">
        <v>2581.6666666666665</v>
      </c>
      <c r="P162" s="451">
        <v>0</v>
      </c>
      <c r="Q162" s="451">
        <v>0</v>
      </c>
      <c r="R162" s="451">
        <v>0</v>
      </c>
      <c r="S162" s="451">
        <v>2581.6666666666665</v>
      </c>
      <c r="T162" s="451">
        <v>1329514.8175199677</v>
      </c>
      <c r="U162" s="451">
        <v>0</v>
      </c>
      <c r="V162" s="451">
        <v>1661249.7738395126</v>
      </c>
      <c r="W162" s="451">
        <v>1489817.43</v>
      </c>
      <c r="X162" s="451">
        <v>0</v>
      </c>
      <c r="Y162" s="451"/>
      <c r="Z162" s="451"/>
      <c r="AA162" s="456"/>
      <c r="AB162" s="451">
        <v>1489817.43</v>
      </c>
      <c r="AC162" s="451">
        <v>171432.34383951267</v>
      </c>
      <c r="AD162" s="451">
        <v>240.00528137531774</v>
      </c>
      <c r="AE162" s="457">
        <v>171672.34912088799</v>
      </c>
      <c r="AF162" s="451">
        <v>-160062.607198657</v>
      </c>
      <c r="AG162" s="451">
        <v>331734.95631954499</v>
      </c>
      <c r="AH162" s="451">
        <v>171432.34383951267</v>
      </c>
      <c r="AI162" s="451">
        <v>66346.657542665052</v>
      </c>
      <c r="AJ162" s="451">
        <v>240.00528137531774</v>
      </c>
      <c r="AK162" s="462"/>
      <c r="AL162" s="453" t="s">
        <v>108</v>
      </c>
      <c r="AM162" s="451">
        <v>171672.34912088799</v>
      </c>
      <c r="AN162" s="453" t="s">
        <v>108</v>
      </c>
      <c r="AO162" s="453">
        <v>98</v>
      </c>
      <c r="AP162" s="453">
        <v>79</v>
      </c>
      <c r="AQ162" s="458">
        <v>0.12912405853521799</v>
      </c>
      <c r="AS162" s="459" t="s">
        <v>104</v>
      </c>
      <c r="AT162" s="453" t="s">
        <v>104</v>
      </c>
      <c r="AU162" s="464" t="s">
        <v>407</v>
      </c>
      <c r="AV162" s="460" t="s">
        <v>36</v>
      </c>
      <c r="AW162" s="453" t="s">
        <v>1430</v>
      </c>
      <c r="BA162" s="464" t="str">
        <f>_xlfn.XLOOKUP(B162,'School List from APT'!A:A,'School List from APT'!C:C,"",FALSE)</f>
        <v>St Gerard's RC Junior and Infant School</v>
      </c>
    </row>
    <row r="163" spans="1:53" x14ac:dyDescent="0.25">
      <c r="A163" s="453" t="s">
        <v>409</v>
      </c>
      <c r="B163" s="453">
        <v>3010</v>
      </c>
      <c r="C163" s="453">
        <v>3010</v>
      </c>
      <c r="D163" s="453" t="s">
        <v>410</v>
      </c>
      <c r="F163" s="454" t="s">
        <v>162</v>
      </c>
      <c r="G163" s="454" t="s">
        <v>36</v>
      </c>
      <c r="H163" s="451">
        <v>389640.63554537127</v>
      </c>
      <c r="I163" s="451">
        <v>0</v>
      </c>
      <c r="J163" s="455">
        <v>389640.63554537127</v>
      </c>
      <c r="K163" s="451">
        <v>2070153.96436492</v>
      </c>
      <c r="L163" s="451">
        <v>328175.75</v>
      </c>
      <c r="M163" s="451">
        <v>0</v>
      </c>
      <c r="N163" s="451">
        <v>2398329.7143649198</v>
      </c>
      <c r="O163" s="451">
        <v>24113.112260784317</v>
      </c>
      <c r="P163" s="451">
        <v>0</v>
      </c>
      <c r="Q163" s="451">
        <v>0</v>
      </c>
      <c r="R163" s="451">
        <v>0</v>
      </c>
      <c r="S163" s="451">
        <v>24113.112260784317</v>
      </c>
      <c r="T163" s="451">
        <v>2422442.8266257043</v>
      </c>
      <c r="U163" s="451">
        <v>0</v>
      </c>
      <c r="V163" s="451">
        <v>2812083.4621710754</v>
      </c>
      <c r="W163" s="451">
        <v>2521986.4</v>
      </c>
      <c r="X163" s="451">
        <v>-11198.97</v>
      </c>
      <c r="Y163" s="451"/>
      <c r="Z163" s="451"/>
      <c r="AA163" s="456"/>
      <c r="AB163" s="451">
        <v>2510787.4299999997</v>
      </c>
      <c r="AC163" s="451">
        <v>301296.0321710757</v>
      </c>
      <c r="AD163" s="451">
        <v>421.81444503950598</v>
      </c>
      <c r="AE163" s="457">
        <v>301717.84661611519</v>
      </c>
      <c r="AF163" s="451">
        <v>-87922.788929256087</v>
      </c>
      <c r="AG163" s="451">
        <v>389640.63554537127</v>
      </c>
      <c r="AH163" s="451">
        <v>301296.0321710757</v>
      </c>
      <c r="AI163" s="451">
        <v>119916.485718246</v>
      </c>
      <c r="AJ163" s="451">
        <v>421.81444503950598</v>
      </c>
      <c r="AK163" s="462"/>
      <c r="AL163" s="453" t="s">
        <v>108</v>
      </c>
      <c r="AM163" s="451">
        <v>301717.84661611519</v>
      </c>
      <c r="AN163" s="453" t="s">
        <v>108</v>
      </c>
      <c r="AO163" s="453">
        <v>59</v>
      </c>
      <c r="AP163" s="453">
        <v>84</v>
      </c>
      <c r="AQ163" s="458">
        <v>0.12455107022541677</v>
      </c>
      <c r="AS163" s="459" t="s">
        <v>104</v>
      </c>
      <c r="AT163" s="453" t="s">
        <v>104</v>
      </c>
      <c r="AU163" s="464" t="s">
        <v>409</v>
      </c>
      <c r="AV163" s="460" t="s">
        <v>36</v>
      </c>
      <c r="AW163" s="453" t="s">
        <v>1430</v>
      </c>
      <c r="BA163" s="464" t="str">
        <f>_xlfn.XLOOKUP(B163,'School List from APT'!A:A,'School List from APT'!C:C,"",FALSE)</f>
        <v>St James Church of England Primary School, Handsworth</v>
      </c>
    </row>
    <row r="164" spans="1:53" x14ac:dyDescent="0.25">
      <c r="A164" s="453" t="s">
        <v>411</v>
      </c>
      <c r="B164" s="453">
        <v>3410</v>
      </c>
      <c r="C164" s="453">
        <v>3410</v>
      </c>
      <c r="D164" s="453" t="s">
        <v>412</v>
      </c>
      <c r="F164" s="454" t="s">
        <v>162</v>
      </c>
      <c r="G164" s="454" t="s">
        <v>36</v>
      </c>
      <c r="H164" s="451">
        <v>276239.77315358544</v>
      </c>
      <c r="I164" s="451">
        <v>0</v>
      </c>
      <c r="J164" s="455">
        <v>276239.77315358544</v>
      </c>
      <c r="K164" s="451">
        <v>1056137.7145925818</v>
      </c>
      <c r="L164" s="451">
        <v>158559.5</v>
      </c>
      <c r="M164" s="451">
        <v>0</v>
      </c>
      <c r="N164" s="451">
        <v>1214697.2145925818</v>
      </c>
      <c r="O164" s="451">
        <v>15434.763916666669</v>
      </c>
      <c r="P164" s="451">
        <v>0</v>
      </c>
      <c r="Q164" s="451">
        <v>0</v>
      </c>
      <c r="R164" s="451">
        <v>0</v>
      </c>
      <c r="S164" s="451">
        <v>15434.763916666669</v>
      </c>
      <c r="T164" s="451">
        <v>1230131.9785092485</v>
      </c>
      <c r="U164" s="451">
        <v>0</v>
      </c>
      <c r="V164" s="451">
        <v>1506371.7516628338</v>
      </c>
      <c r="W164" s="451">
        <v>1273950.24</v>
      </c>
      <c r="X164" s="451">
        <v>0</v>
      </c>
      <c r="Y164" s="451"/>
      <c r="Z164" s="451"/>
      <c r="AA164" s="456"/>
      <c r="AB164" s="451">
        <v>1273950.24</v>
      </c>
      <c r="AC164" s="451">
        <v>232421.51166283386</v>
      </c>
      <c r="AD164" s="451">
        <v>325.39011632796741</v>
      </c>
      <c r="AE164" s="457">
        <v>232746.90177916182</v>
      </c>
      <c r="AF164" s="451">
        <v>-43492.871374423616</v>
      </c>
      <c r="AG164" s="451">
        <v>276239.77315358544</v>
      </c>
      <c r="AH164" s="451">
        <v>232421.51166283386</v>
      </c>
      <c r="AI164" s="451">
        <v>60734.860729629094</v>
      </c>
      <c r="AJ164" s="451">
        <v>325.39011632796741</v>
      </c>
      <c r="AK164" s="462"/>
      <c r="AL164" s="453" t="s">
        <v>108</v>
      </c>
      <c r="AM164" s="451">
        <v>232746.90177916182</v>
      </c>
      <c r="AN164" s="453" t="s">
        <v>108</v>
      </c>
      <c r="AO164" s="453">
        <v>84</v>
      </c>
      <c r="AP164" s="453">
        <v>43</v>
      </c>
      <c r="AQ164" s="458">
        <v>0.18920482179580372</v>
      </c>
      <c r="AS164" s="459" t="s">
        <v>104</v>
      </c>
      <c r="AT164" s="453" t="s">
        <v>104</v>
      </c>
      <c r="AU164" s="464" t="s">
        <v>411</v>
      </c>
      <c r="AV164" s="460" t="s">
        <v>36</v>
      </c>
      <c r="AW164" s="453" t="s">
        <v>1430</v>
      </c>
      <c r="BA164" s="464" t="str">
        <f>_xlfn.XLOOKUP(B164,'School List from APT'!A:A,'School List from APT'!C:C,"",FALSE)</f>
        <v>St John and Monica Catholic Primary School</v>
      </c>
    </row>
    <row r="165" spans="1:53" x14ac:dyDescent="0.25">
      <c r="A165" s="453" t="s">
        <v>414</v>
      </c>
      <c r="B165" s="453">
        <v>3339</v>
      </c>
      <c r="C165" s="453">
        <v>3339</v>
      </c>
      <c r="D165" s="453" t="s">
        <v>415</v>
      </c>
      <c r="E165" s="453"/>
      <c r="F165" s="454" t="s">
        <v>857</v>
      </c>
      <c r="G165" s="454" t="s">
        <v>36</v>
      </c>
      <c r="H165" s="451">
        <v>127447.27564759574</v>
      </c>
      <c r="I165" s="451">
        <v>0</v>
      </c>
      <c r="J165" s="455">
        <v>127447.27564759574</v>
      </c>
      <c r="K165" s="451">
        <v>478736.58736499993</v>
      </c>
      <c r="L165" s="451">
        <v>97564.75</v>
      </c>
      <c r="M165" s="451">
        <v>0</v>
      </c>
      <c r="N165" s="451">
        <v>576301.33736499993</v>
      </c>
      <c r="O165" s="451">
        <v>6012.083333333333</v>
      </c>
      <c r="P165" s="451">
        <v>0</v>
      </c>
      <c r="Q165" s="451">
        <v>0</v>
      </c>
      <c r="R165" s="451">
        <v>0</v>
      </c>
      <c r="S165" s="451">
        <v>6012.083333333333</v>
      </c>
      <c r="T165" s="451">
        <v>582313.4206983333</v>
      </c>
      <c r="U165" s="451">
        <v>0</v>
      </c>
      <c r="V165" s="451">
        <v>709760.69634592906</v>
      </c>
      <c r="W165" s="451">
        <v>704153.88</v>
      </c>
      <c r="X165" s="451">
        <v>0</v>
      </c>
      <c r="Y165" s="451"/>
      <c r="Z165" s="451"/>
      <c r="AA165" s="456"/>
      <c r="AB165" s="451">
        <v>704153.88</v>
      </c>
      <c r="AC165" s="451">
        <v>5606.8163459290517</v>
      </c>
      <c r="AD165" s="451">
        <v>7.8495428843006723</v>
      </c>
      <c r="AE165" s="457">
        <v>5614.6658888133525</v>
      </c>
      <c r="AF165" s="451">
        <v>-121832.60975878239</v>
      </c>
      <c r="AG165" s="451">
        <v>127447.27564759574</v>
      </c>
      <c r="AH165" s="451">
        <v>5606.8163459290517</v>
      </c>
      <c r="AI165" s="451">
        <v>28815.066868249996</v>
      </c>
      <c r="AJ165" s="451">
        <v>7.8495428843006723</v>
      </c>
      <c r="AK165" s="462"/>
      <c r="AL165" s="453" t="s">
        <v>1432</v>
      </c>
      <c r="AM165" s="451">
        <v>5614.6658888133525</v>
      </c>
      <c r="AN165" s="453" t="s">
        <v>1432</v>
      </c>
      <c r="AO165" s="453">
        <v>149</v>
      </c>
      <c r="AP165" s="453">
        <v>149</v>
      </c>
      <c r="AQ165" s="458">
        <v>9.6419998049847837E-3</v>
      </c>
      <c r="AR165" s="453"/>
      <c r="AS165" s="459" t="s">
        <v>104</v>
      </c>
      <c r="AT165" s="453" t="s">
        <v>104</v>
      </c>
      <c r="AU165" s="453" t="s">
        <v>414</v>
      </c>
      <c r="AV165" s="460" t="s">
        <v>36</v>
      </c>
      <c r="AW165" s="453" t="s">
        <v>1433</v>
      </c>
      <c r="BA165" s="464" t="str">
        <f>_xlfn.XLOOKUP(B165,'School List from APT'!A:A,'School List from APT'!C:C,"",FALSE)</f>
        <v>St Joseph's Catholic Primary School</v>
      </c>
    </row>
    <row r="166" spans="1:53" x14ac:dyDescent="0.25">
      <c r="A166" s="453" t="s">
        <v>416</v>
      </c>
      <c r="B166" s="453">
        <v>3377</v>
      </c>
      <c r="C166" s="453">
        <v>3377</v>
      </c>
      <c r="D166" s="453" t="s">
        <v>417</v>
      </c>
      <c r="F166" s="454" t="s">
        <v>162</v>
      </c>
      <c r="G166" s="454" t="s">
        <v>107</v>
      </c>
      <c r="H166" s="451">
        <v>198737.15475585358</v>
      </c>
      <c r="I166" s="451">
        <v>-4.755853587994352E-3</v>
      </c>
      <c r="J166" s="455">
        <v>198737.15</v>
      </c>
      <c r="K166" s="451">
        <v>1097320.6148927663</v>
      </c>
      <c r="L166" s="451">
        <v>232714.5</v>
      </c>
      <c r="M166" s="451">
        <v>-7705.75</v>
      </c>
      <c r="N166" s="451">
        <v>1322329.3648927663</v>
      </c>
      <c r="O166" s="451">
        <v>9666.5833333333339</v>
      </c>
      <c r="P166" s="451">
        <v>0</v>
      </c>
      <c r="Q166" s="451">
        <v>0</v>
      </c>
      <c r="R166" s="451">
        <v>0</v>
      </c>
      <c r="S166" s="451">
        <v>9666.5833333333339</v>
      </c>
      <c r="T166" s="451">
        <v>1331995.9482260996</v>
      </c>
      <c r="U166" s="451">
        <v>0</v>
      </c>
      <c r="V166" s="451">
        <v>1530733.0982260995</v>
      </c>
      <c r="W166" s="451">
        <v>1285819.44</v>
      </c>
      <c r="X166" s="451">
        <v>0</v>
      </c>
      <c r="Y166" s="451"/>
      <c r="Z166" s="451"/>
      <c r="AA166" s="456"/>
      <c r="AB166" s="451">
        <v>1285819.44</v>
      </c>
      <c r="AC166" s="451">
        <v>244913.65822609956</v>
      </c>
      <c r="AD166" s="451">
        <v>0</v>
      </c>
      <c r="AE166" s="457">
        <v>244913.65822609956</v>
      </c>
      <c r="AF166" s="451">
        <v>46176.50822609957</v>
      </c>
      <c r="AG166" s="451">
        <v>198737.15</v>
      </c>
      <c r="AH166" s="451">
        <v>0</v>
      </c>
      <c r="AI166" s="451">
        <v>0</v>
      </c>
      <c r="AJ166" s="451">
        <v>0</v>
      </c>
      <c r="AK166" s="462"/>
      <c r="AL166" s="453" t="s">
        <v>108</v>
      </c>
      <c r="AM166" s="451">
        <v>244913.65822609956</v>
      </c>
      <c r="AN166" s="453" t="s">
        <v>108</v>
      </c>
      <c r="AO166" s="453">
        <v>80</v>
      </c>
      <c r="AP166" s="453">
        <v>46</v>
      </c>
      <c r="AQ166" s="458">
        <v>0.18386967209041893</v>
      </c>
      <c r="AS166" s="459" t="s">
        <v>104</v>
      </c>
      <c r="AT166" s="453" t="s">
        <v>109</v>
      </c>
      <c r="AU166" s="464" t="s">
        <v>416</v>
      </c>
      <c r="AV166" s="460" t="s">
        <v>36</v>
      </c>
      <c r="AW166" s="453" t="s">
        <v>1431</v>
      </c>
      <c r="BA166" s="464" t="str">
        <f>_xlfn.XLOOKUP(B166,'School List from APT'!A:A,'School List from APT'!C:C,"",FALSE)</f>
        <v>St Jude's Catholic Primary School</v>
      </c>
    </row>
    <row r="167" spans="1:53" x14ac:dyDescent="0.25">
      <c r="A167" s="453" t="s">
        <v>418</v>
      </c>
      <c r="B167" s="453">
        <v>3371</v>
      </c>
      <c r="C167" s="453">
        <v>3371</v>
      </c>
      <c r="D167" s="453" t="s">
        <v>419</v>
      </c>
      <c r="F167" s="454" t="s">
        <v>162</v>
      </c>
      <c r="G167" s="454" t="s">
        <v>107</v>
      </c>
      <c r="H167" s="451">
        <v>167355.93903126661</v>
      </c>
      <c r="I167" s="451">
        <v>9.6873339498415589E-4</v>
      </c>
      <c r="J167" s="455">
        <v>167355.94</v>
      </c>
      <c r="K167" s="451">
        <v>1191177.1550243455</v>
      </c>
      <c r="L167" s="451">
        <v>195403</v>
      </c>
      <c r="M167" s="451">
        <v>0</v>
      </c>
      <c r="N167" s="451">
        <v>1386580.1550243455</v>
      </c>
      <c r="O167" s="451">
        <v>21292.5</v>
      </c>
      <c r="P167" s="451">
        <v>0</v>
      </c>
      <c r="Q167" s="451">
        <v>0</v>
      </c>
      <c r="R167" s="451">
        <v>0</v>
      </c>
      <c r="S167" s="451">
        <v>21292.5</v>
      </c>
      <c r="T167" s="451">
        <v>1407872.6550243455</v>
      </c>
      <c r="U167" s="451">
        <v>0</v>
      </c>
      <c r="V167" s="451">
        <v>1575228.5950243454</v>
      </c>
      <c r="W167" s="451">
        <v>1452426.86</v>
      </c>
      <c r="X167" s="451">
        <v>0</v>
      </c>
      <c r="Y167" s="451"/>
      <c r="Z167" s="451"/>
      <c r="AA167" s="456"/>
      <c r="AB167" s="451">
        <v>1452426.86</v>
      </c>
      <c r="AC167" s="451">
        <v>122801.73502434534</v>
      </c>
      <c r="AD167" s="451">
        <v>0</v>
      </c>
      <c r="AE167" s="457">
        <v>122801.73502434534</v>
      </c>
      <c r="AF167" s="451">
        <v>-44554.204975654662</v>
      </c>
      <c r="AG167" s="451">
        <v>167355.94</v>
      </c>
      <c r="AH167" s="451">
        <v>0</v>
      </c>
      <c r="AI167" s="451">
        <v>0</v>
      </c>
      <c r="AJ167" s="451">
        <v>0</v>
      </c>
      <c r="AK167" s="462"/>
      <c r="AL167" s="453" t="s">
        <v>108</v>
      </c>
      <c r="AM167" s="451">
        <v>122801.73502434534</v>
      </c>
      <c r="AN167" s="453" t="s">
        <v>108</v>
      </c>
      <c r="AO167" s="453">
        <v>113</v>
      </c>
      <c r="AP167" s="453">
        <v>108</v>
      </c>
      <c r="AQ167" s="458">
        <v>8.7225030322235927E-2</v>
      </c>
      <c r="AS167" s="459" t="s">
        <v>104</v>
      </c>
      <c r="AT167" s="453" t="s">
        <v>109</v>
      </c>
      <c r="AU167" s="464" t="s">
        <v>418</v>
      </c>
      <c r="AV167" s="460" t="s">
        <v>36</v>
      </c>
      <c r="AW167" s="453" t="s">
        <v>1431</v>
      </c>
      <c r="BA167" s="464" t="str">
        <f>_xlfn.XLOOKUP(B167,'School List from APT'!A:A,'School List from APT'!C:C,"",FALSE)</f>
        <v>St Laurence Church Infant School</v>
      </c>
    </row>
    <row r="168" spans="1:53" x14ac:dyDescent="0.25">
      <c r="A168" s="453" t="s">
        <v>420</v>
      </c>
      <c r="B168" s="453">
        <v>3307</v>
      </c>
      <c r="C168" s="453">
        <v>3307</v>
      </c>
      <c r="D168" s="453" t="s">
        <v>421</v>
      </c>
      <c r="F168" s="454" t="s">
        <v>162</v>
      </c>
      <c r="G168" s="454" t="s">
        <v>36</v>
      </c>
      <c r="H168" s="451">
        <v>252357.19506838356</v>
      </c>
      <c r="I168" s="451">
        <v>0</v>
      </c>
      <c r="J168" s="455">
        <v>252357.19506838356</v>
      </c>
      <c r="K168" s="451">
        <v>1520290.1076868125</v>
      </c>
      <c r="L168" s="451">
        <v>177046.25</v>
      </c>
      <c r="M168" s="451">
        <v>0</v>
      </c>
      <c r="N168" s="451">
        <v>1697336.3576868125</v>
      </c>
      <c r="O168" s="451">
        <v>26069.316500000001</v>
      </c>
      <c r="P168" s="451">
        <v>0</v>
      </c>
      <c r="Q168" s="451">
        <v>0</v>
      </c>
      <c r="R168" s="451">
        <v>0</v>
      </c>
      <c r="S168" s="451">
        <v>26069.316500000001</v>
      </c>
      <c r="T168" s="451">
        <v>1723405.6741868125</v>
      </c>
      <c r="U168" s="451">
        <v>0</v>
      </c>
      <c r="V168" s="451">
        <v>1975762.8692551961</v>
      </c>
      <c r="W168" s="451">
        <v>1740821.41</v>
      </c>
      <c r="X168" s="451">
        <v>0</v>
      </c>
      <c r="Y168" s="451"/>
      <c r="Z168" s="451"/>
      <c r="AA168" s="456"/>
      <c r="AB168" s="451">
        <v>1740821.41</v>
      </c>
      <c r="AC168" s="451">
        <v>234941.45925519615</v>
      </c>
      <c r="AD168" s="451">
        <v>328.91804295727457</v>
      </c>
      <c r="AE168" s="457">
        <v>235270.37729815344</v>
      </c>
      <c r="AF168" s="451">
        <v>-17086.817770230118</v>
      </c>
      <c r="AG168" s="451">
        <v>252357.19506838356</v>
      </c>
      <c r="AH168" s="451">
        <v>234941.45925519615</v>
      </c>
      <c r="AI168" s="451">
        <v>84866.817884340635</v>
      </c>
      <c r="AJ168" s="451">
        <v>328.91804295727457</v>
      </c>
      <c r="AK168" s="462"/>
      <c r="AL168" s="453" t="s">
        <v>108</v>
      </c>
      <c r="AM168" s="451">
        <v>235270.37729815344</v>
      </c>
      <c r="AN168" s="453" t="s">
        <v>108</v>
      </c>
      <c r="AO168" s="453">
        <v>83</v>
      </c>
      <c r="AP168" s="453">
        <v>69</v>
      </c>
      <c r="AQ168" s="458">
        <v>0.13651479789235671</v>
      </c>
      <c r="AS168" s="459" t="s">
        <v>104</v>
      </c>
      <c r="AT168" s="453" t="s">
        <v>104</v>
      </c>
      <c r="AU168" s="464" t="s">
        <v>420</v>
      </c>
      <c r="AV168" s="460" t="s">
        <v>36</v>
      </c>
      <c r="AW168" s="453" t="s">
        <v>1430</v>
      </c>
      <c r="BA168" s="464" t="str">
        <f>_xlfn.XLOOKUP(B168,'School List from APT'!A:A,'School List from APT'!C:C,"",FALSE)</f>
        <v>St Laurence Church Junior School</v>
      </c>
    </row>
    <row r="169" spans="1:53" x14ac:dyDescent="0.25">
      <c r="A169" s="453" t="s">
        <v>422</v>
      </c>
      <c r="B169" s="453">
        <v>3361</v>
      </c>
      <c r="C169" s="453">
        <v>3361</v>
      </c>
      <c r="D169" s="453" t="s">
        <v>423</v>
      </c>
      <c r="F169" s="454" t="s">
        <v>162</v>
      </c>
      <c r="G169" s="454" t="s">
        <v>36</v>
      </c>
      <c r="H169" s="451">
        <v>213645.89884088843</v>
      </c>
      <c r="I169" s="451">
        <v>0</v>
      </c>
      <c r="J169" s="455">
        <v>213645.89884088843</v>
      </c>
      <c r="K169" s="451">
        <v>1865493.0889890837</v>
      </c>
      <c r="L169" s="451">
        <v>301349.5</v>
      </c>
      <c r="M169" s="451">
        <v>-28458.261111111118</v>
      </c>
      <c r="N169" s="451">
        <v>2138384.3278779727</v>
      </c>
      <c r="O169" s="451">
        <v>1544.1666666666665</v>
      </c>
      <c r="P169" s="451">
        <v>0</v>
      </c>
      <c r="Q169" s="451">
        <v>0</v>
      </c>
      <c r="R169" s="451">
        <v>0</v>
      </c>
      <c r="S169" s="451">
        <v>1544.1666666666665</v>
      </c>
      <c r="T169" s="451">
        <v>2139928.4945446393</v>
      </c>
      <c r="U169" s="451">
        <v>0</v>
      </c>
      <c r="V169" s="451">
        <v>2353574.3933855277</v>
      </c>
      <c r="W169" s="451">
        <v>2075656.48</v>
      </c>
      <c r="X169" s="451">
        <v>0</v>
      </c>
      <c r="Y169" s="451"/>
      <c r="Z169" s="451"/>
      <c r="AA169" s="456"/>
      <c r="AB169" s="451">
        <v>2075656.48</v>
      </c>
      <c r="AC169" s="451">
        <v>277917.91338552767</v>
      </c>
      <c r="AD169" s="451">
        <v>299.10425837724381</v>
      </c>
      <c r="AE169" s="457">
        <v>278217.0176439049</v>
      </c>
      <c r="AF169" s="451">
        <v>64571.118803016463</v>
      </c>
      <c r="AG169" s="451">
        <v>213645.89884088843</v>
      </c>
      <c r="AH169" s="451">
        <v>213645.89884088843</v>
      </c>
      <c r="AI169" s="451">
        <v>106919.21639389865</v>
      </c>
      <c r="AJ169" s="451">
        <v>299.10425837724381</v>
      </c>
      <c r="AK169" s="462"/>
      <c r="AL169" s="453" t="s">
        <v>108</v>
      </c>
      <c r="AM169" s="451">
        <v>278217.0176439049</v>
      </c>
      <c r="AN169" s="453" t="s">
        <v>108</v>
      </c>
      <c r="AO169" s="453">
        <v>65</v>
      </c>
      <c r="AP169" s="453">
        <v>77</v>
      </c>
      <c r="AQ169" s="458">
        <v>0.13001229637026138</v>
      </c>
      <c r="AS169" s="459" t="s">
        <v>104</v>
      </c>
      <c r="AT169" s="453" t="s">
        <v>104</v>
      </c>
      <c r="AU169" s="464" t="s">
        <v>422</v>
      </c>
      <c r="AV169" s="460" t="s">
        <v>36</v>
      </c>
      <c r="AW169" s="453" t="s">
        <v>1430</v>
      </c>
      <c r="BA169" s="464" t="str">
        <f>_xlfn.XLOOKUP(B169,'School List from APT'!A:A,'School List from APT'!C:C,"",FALSE)</f>
        <v>St Margaret Mary RC Junior and Infant School</v>
      </c>
    </row>
    <row r="170" spans="1:53" x14ac:dyDescent="0.25">
      <c r="A170" s="453" t="s">
        <v>424</v>
      </c>
      <c r="B170" s="453">
        <v>3383</v>
      </c>
      <c r="C170" s="453">
        <v>3383</v>
      </c>
      <c r="D170" s="453" t="s">
        <v>425</v>
      </c>
      <c r="F170" s="454" t="s">
        <v>162</v>
      </c>
      <c r="G170" s="454" t="s">
        <v>36</v>
      </c>
      <c r="H170" s="451">
        <v>240389.39042272363</v>
      </c>
      <c r="I170" s="451">
        <v>0</v>
      </c>
      <c r="J170" s="455">
        <v>240389.39042272363</v>
      </c>
      <c r="K170" s="451">
        <v>989002.15232835151</v>
      </c>
      <c r="L170" s="451">
        <v>139154.875</v>
      </c>
      <c r="M170" s="451">
        <v>0</v>
      </c>
      <c r="N170" s="451">
        <v>1128157.0273283515</v>
      </c>
      <c r="O170" s="451">
        <v>2505.8333333333335</v>
      </c>
      <c r="P170" s="451">
        <v>0</v>
      </c>
      <c r="Q170" s="451">
        <v>0</v>
      </c>
      <c r="R170" s="451">
        <v>0</v>
      </c>
      <c r="S170" s="451">
        <v>2505.8333333333335</v>
      </c>
      <c r="T170" s="451">
        <v>1130662.8606616848</v>
      </c>
      <c r="U170" s="451">
        <v>0</v>
      </c>
      <c r="V170" s="451">
        <v>1371052.2510844085</v>
      </c>
      <c r="W170" s="451">
        <v>1269509.5900000001</v>
      </c>
      <c r="X170" s="451">
        <v>0</v>
      </c>
      <c r="Y170" s="451"/>
      <c r="Z170" s="451"/>
      <c r="AA170" s="456"/>
      <c r="AB170" s="451">
        <v>1269509.5900000001</v>
      </c>
      <c r="AC170" s="451">
        <v>101542.66108440841</v>
      </c>
      <c r="AD170" s="451">
        <v>142.15972551817177</v>
      </c>
      <c r="AE170" s="457">
        <v>101684.82080992658</v>
      </c>
      <c r="AF170" s="451">
        <v>-138704.56961279706</v>
      </c>
      <c r="AG170" s="451">
        <v>240389.39042272363</v>
      </c>
      <c r="AH170" s="451">
        <v>101542.66108440841</v>
      </c>
      <c r="AI170" s="451">
        <v>56407.851366417577</v>
      </c>
      <c r="AJ170" s="451">
        <v>142.15972551817177</v>
      </c>
      <c r="AK170" s="462"/>
      <c r="AL170" s="453" t="s">
        <v>108</v>
      </c>
      <c r="AM170" s="451">
        <v>101684.82080992658</v>
      </c>
      <c r="AN170" s="453" t="s">
        <v>108</v>
      </c>
      <c r="AO170" s="453">
        <v>123</v>
      </c>
      <c r="AP170" s="453">
        <v>106</v>
      </c>
      <c r="AQ170" s="458">
        <v>8.9933811702649136E-2</v>
      </c>
      <c r="AS170" s="459" t="s">
        <v>104</v>
      </c>
      <c r="AT170" s="453" t="s">
        <v>104</v>
      </c>
      <c r="AU170" s="464" t="s">
        <v>424</v>
      </c>
      <c r="AV170" s="460" t="s">
        <v>36</v>
      </c>
      <c r="AW170" s="453" t="s">
        <v>1430</v>
      </c>
      <c r="BA170" s="464" t="str">
        <f>_xlfn.XLOOKUP(B170,'School List from APT'!A:A,'School List from APT'!C:C,"",FALSE)</f>
        <v>St Mark's Catholic Primary School</v>
      </c>
    </row>
    <row r="171" spans="1:53" x14ac:dyDescent="0.25">
      <c r="A171" s="453" t="s">
        <v>426</v>
      </c>
      <c r="B171" s="453">
        <v>3382</v>
      </c>
      <c r="C171" s="453">
        <v>3382</v>
      </c>
      <c r="D171" s="453" t="s">
        <v>427</v>
      </c>
      <c r="F171" s="454" t="s">
        <v>162</v>
      </c>
      <c r="G171" s="454" t="s">
        <v>36</v>
      </c>
      <c r="H171" s="451">
        <v>136500.15764285205</v>
      </c>
      <c r="I171" s="451">
        <v>0</v>
      </c>
      <c r="J171" s="455">
        <v>136500.15764285205</v>
      </c>
      <c r="K171" s="451">
        <v>988214.28394914756</v>
      </c>
      <c r="L171" s="451">
        <v>158560.875</v>
      </c>
      <c r="M171" s="451">
        <v>0</v>
      </c>
      <c r="N171" s="451">
        <v>1146775.1589491474</v>
      </c>
      <c r="O171" s="451">
        <v>4766.9350000000004</v>
      </c>
      <c r="P171" s="451">
        <v>0</v>
      </c>
      <c r="Q171" s="451">
        <v>0</v>
      </c>
      <c r="R171" s="451">
        <v>0</v>
      </c>
      <c r="S171" s="451">
        <v>4766.9350000000004</v>
      </c>
      <c r="T171" s="451">
        <v>1151542.0939491475</v>
      </c>
      <c r="U171" s="451">
        <v>0</v>
      </c>
      <c r="V171" s="451">
        <v>1288042.2515919995</v>
      </c>
      <c r="W171" s="451">
        <v>1148782.75</v>
      </c>
      <c r="X171" s="451">
        <v>0</v>
      </c>
      <c r="Y171" s="451"/>
      <c r="Z171" s="451"/>
      <c r="AA171" s="456"/>
      <c r="AB171" s="451">
        <v>1148782.75</v>
      </c>
      <c r="AC171" s="451">
        <v>139259.50159199955</v>
      </c>
      <c r="AD171" s="451">
        <v>191.10022069999286</v>
      </c>
      <c r="AE171" s="457">
        <v>139450.60181269955</v>
      </c>
      <c r="AF171" s="451">
        <v>2950.4441698474984</v>
      </c>
      <c r="AG171" s="451">
        <v>136500.15764285205</v>
      </c>
      <c r="AH171" s="451">
        <v>136500.15764285205</v>
      </c>
      <c r="AI171" s="451">
        <v>57338.757947457372</v>
      </c>
      <c r="AJ171" s="451">
        <v>191.10022069999286</v>
      </c>
      <c r="AK171" s="462"/>
      <c r="AL171" s="453" t="s">
        <v>108</v>
      </c>
      <c r="AM171" s="451">
        <v>139450.60181269955</v>
      </c>
      <c r="AN171" s="453" t="s">
        <v>108</v>
      </c>
      <c r="AO171" s="453">
        <v>106</v>
      </c>
      <c r="AP171" s="453">
        <v>86</v>
      </c>
      <c r="AQ171" s="458">
        <v>0.12109900501723017</v>
      </c>
      <c r="AS171" s="459" t="s">
        <v>104</v>
      </c>
      <c r="AT171" s="453" t="s">
        <v>104</v>
      </c>
      <c r="AU171" s="464" t="s">
        <v>426</v>
      </c>
      <c r="AV171" s="460" t="s">
        <v>36</v>
      </c>
      <c r="AW171" s="453" t="s">
        <v>1430</v>
      </c>
      <c r="BA171" s="464" t="str">
        <f>_xlfn.XLOOKUP(B171,'School List from APT'!A:A,'School List from APT'!C:C,"",FALSE)</f>
        <v>St Martin de Porres Catholic Primary School</v>
      </c>
    </row>
    <row r="172" spans="1:53" x14ac:dyDescent="0.25">
      <c r="A172" s="453" t="s">
        <v>428</v>
      </c>
      <c r="B172" s="453">
        <v>3025</v>
      </c>
      <c r="C172" s="453">
        <v>3025</v>
      </c>
      <c r="D172" s="453" t="s">
        <v>429</v>
      </c>
      <c r="F172" s="454" t="s">
        <v>162</v>
      </c>
      <c r="G172" s="454" t="s">
        <v>36</v>
      </c>
      <c r="H172" s="451">
        <v>223479.32356196488</v>
      </c>
      <c r="I172" s="451">
        <v>0</v>
      </c>
      <c r="J172" s="455">
        <v>223479.32356196488</v>
      </c>
      <c r="K172" s="451">
        <v>1835014.8908641085</v>
      </c>
      <c r="L172" s="451">
        <v>227864.75</v>
      </c>
      <c r="M172" s="451">
        <v>0</v>
      </c>
      <c r="N172" s="451">
        <v>2062879.6408641085</v>
      </c>
      <c r="O172" s="451">
        <v>60965.631080339175</v>
      </c>
      <c r="P172" s="451">
        <v>0</v>
      </c>
      <c r="Q172" s="451">
        <v>0</v>
      </c>
      <c r="R172" s="451">
        <v>0</v>
      </c>
      <c r="S172" s="451">
        <v>60965.631080339175</v>
      </c>
      <c r="T172" s="451">
        <v>2123845.2719444474</v>
      </c>
      <c r="U172" s="451">
        <v>0</v>
      </c>
      <c r="V172" s="451">
        <v>2347324.5955064124</v>
      </c>
      <c r="W172" s="451">
        <v>2252109.73</v>
      </c>
      <c r="X172" s="451">
        <v>-12385.5</v>
      </c>
      <c r="Y172" s="451"/>
      <c r="Z172" s="451"/>
      <c r="AA172" s="456"/>
      <c r="AB172" s="451">
        <v>2239724.23</v>
      </c>
      <c r="AC172" s="451">
        <v>107600.36550641246</v>
      </c>
      <c r="AD172" s="451">
        <v>150.64051170897744</v>
      </c>
      <c r="AE172" s="457">
        <v>107751.00601812144</v>
      </c>
      <c r="AF172" s="451">
        <v>-115728.31754384344</v>
      </c>
      <c r="AG172" s="451">
        <v>223479.32356196488</v>
      </c>
      <c r="AH172" s="451">
        <v>107600.36550641246</v>
      </c>
      <c r="AI172" s="451">
        <v>103143.98204320543</v>
      </c>
      <c r="AJ172" s="451">
        <v>150.64051170897744</v>
      </c>
      <c r="AK172" s="462"/>
      <c r="AL172" s="453" t="s">
        <v>108</v>
      </c>
      <c r="AM172" s="451">
        <v>107751.00601812144</v>
      </c>
      <c r="AN172" s="453" t="s">
        <v>108</v>
      </c>
      <c r="AO172" s="453">
        <v>120</v>
      </c>
      <c r="AP172" s="453">
        <v>131</v>
      </c>
      <c r="AQ172" s="458">
        <v>5.073392466084499E-2</v>
      </c>
      <c r="AS172" s="459" t="s">
        <v>104</v>
      </c>
      <c r="AT172" s="453" t="s">
        <v>104</v>
      </c>
      <c r="AU172" s="464" t="s">
        <v>428</v>
      </c>
      <c r="AV172" s="460" t="s">
        <v>36</v>
      </c>
      <c r="AW172" s="453" t="s">
        <v>1430</v>
      </c>
      <c r="BA172" s="464" t="str">
        <f>_xlfn.XLOOKUP(B172,'School List from APT'!A:A,'School List from APT'!C:C,"",FALSE)</f>
        <v>St Mary's Church of England Primary School</v>
      </c>
    </row>
    <row r="173" spans="1:53" x14ac:dyDescent="0.25">
      <c r="A173" s="453" t="s">
        <v>430</v>
      </c>
      <c r="B173" s="453">
        <v>3344</v>
      </c>
      <c r="C173" s="453">
        <v>3344</v>
      </c>
      <c r="D173" s="453" t="s">
        <v>431</v>
      </c>
      <c r="F173" s="454" t="s">
        <v>162</v>
      </c>
      <c r="G173" s="454" t="s">
        <v>36</v>
      </c>
      <c r="H173" s="451">
        <v>341481.85549293109</v>
      </c>
      <c r="I173" s="451">
        <v>0</v>
      </c>
      <c r="J173" s="455">
        <v>341481.85549293109</v>
      </c>
      <c r="K173" s="451">
        <v>1728637.74</v>
      </c>
      <c r="L173" s="451">
        <v>177825</v>
      </c>
      <c r="M173" s="451">
        <v>0</v>
      </c>
      <c r="N173" s="451">
        <v>1906462.74</v>
      </c>
      <c r="O173" s="451">
        <v>8209.75</v>
      </c>
      <c r="P173" s="451">
        <v>0</v>
      </c>
      <c r="Q173" s="451">
        <v>0</v>
      </c>
      <c r="R173" s="451">
        <v>0</v>
      </c>
      <c r="S173" s="451">
        <v>8209.75</v>
      </c>
      <c r="T173" s="451">
        <v>1914672.49</v>
      </c>
      <c r="U173" s="451">
        <v>0</v>
      </c>
      <c r="V173" s="451">
        <v>2256154.3454929311</v>
      </c>
      <c r="W173" s="451">
        <v>2026626.27</v>
      </c>
      <c r="X173" s="451">
        <v>0</v>
      </c>
      <c r="Y173" s="451"/>
      <c r="Z173" s="451"/>
      <c r="AA173" s="456"/>
      <c r="AB173" s="451">
        <v>2026626.27</v>
      </c>
      <c r="AC173" s="451">
        <v>229528.07549293106</v>
      </c>
      <c r="AD173" s="451">
        <v>321.33930569010352</v>
      </c>
      <c r="AE173" s="457">
        <v>229849.41479862118</v>
      </c>
      <c r="AF173" s="451">
        <v>-111632.44069430992</v>
      </c>
      <c r="AG173" s="451">
        <v>341481.85549293109</v>
      </c>
      <c r="AH173" s="451">
        <v>229528.07549293106</v>
      </c>
      <c r="AI173" s="451">
        <v>95323.137000000002</v>
      </c>
      <c r="AJ173" s="451">
        <v>321.33930569010352</v>
      </c>
      <c r="AK173" s="462"/>
      <c r="AL173" s="453" t="s">
        <v>108</v>
      </c>
      <c r="AM173" s="451">
        <v>229849.41479862118</v>
      </c>
      <c r="AN173" s="453" t="s">
        <v>108</v>
      </c>
      <c r="AO173" s="453">
        <v>86</v>
      </c>
      <c r="AP173" s="453">
        <v>88</v>
      </c>
      <c r="AQ173" s="458">
        <v>0.12004633481657283</v>
      </c>
      <c r="AS173" s="459" t="s">
        <v>104</v>
      </c>
      <c r="AT173" s="453" t="s">
        <v>104</v>
      </c>
      <c r="AU173" s="464" t="s">
        <v>430</v>
      </c>
      <c r="AV173" s="460" t="s">
        <v>36</v>
      </c>
      <c r="AW173" s="453" t="s">
        <v>1430</v>
      </c>
      <c r="BA173" s="464" t="str">
        <f>_xlfn.XLOOKUP(B173,'School List from APT'!A:A,'School List from APT'!C:C,"",FALSE)</f>
        <v>St Mary's Catholic Primary School</v>
      </c>
    </row>
    <row r="174" spans="1:53" x14ac:dyDescent="0.25">
      <c r="A174" s="453" t="s">
        <v>432</v>
      </c>
      <c r="B174" s="453">
        <v>3016</v>
      </c>
      <c r="C174" s="453">
        <v>3016</v>
      </c>
      <c r="D174" s="453" t="s">
        <v>433</v>
      </c>
      <c r="F174" s="454" t="s">
        <v>162</v>
      </c>
      <c r="G174" s="454" t="s">
        <v>107</v>
      </c>
      <c r="H174" s="451">
        <v>520994.53100209194</v>
      </c>
      <c r="I174" s="451">
        <v>-1.0020919144153595E-3</v>
      </c>
      <c r="J174" s="455">
        <v>520994.53</v>
      </c>
      <c r="K174" s="451">
        <v>1233189.6378896986</v>
      </c>
      <c r="L174" s="451">
        <v>221382.625</v>
      </c>
      <c r="M174" s="451">
        <v>0</v>
      </c>
      <c r="N174" s="451">
        <v>1454572.2628896986</v>
      </c>
      <c r="O174" s="451">
        <v>5000</v>
      </c>
      <c r="P174" s="451">
        <v>0</v>
      </c>
      <c r="Q174" s="451">
        <v>0</v>
      </c>
      <c r="R174" s="451">
        <v>0</v>
      </c>
      <c r="S174" s="451">
        <v>5000</v>
      </c>
      <c r="T174" s="451">
        <v>1459572.2628896986</v>
      </c>
      <c r="U174" s="451">
        <v>0</v>
      </c>
      <c r="V174" s="451">
        <v>1980566.7928896986</v>
      </c>
      <c r="W174" s="451">
        <v>1507334.64</v>
      </c>
      <c r="X174" s="451">
        <v>0</v>
      </c>
      <c r="Y174" s="451"/>
      <c r="Z174" s="451"/>
      <c r="AA174" s="493"/>
      <c r="AB174" s="451">
        <v>1507334.64</v>
      </c>
      <c r="AC174" s="451">
        <v>473232.15288969874</v>
      </c>
      <c r="AD174" s="451">
        <v>0</v>
      </c>
      <c r="AE174" s="457">
        <v>473232.15288969874</v>
      </c>
      <c r="AF174" s="451">
        <v>-47762.377110301284</v>
      </c>
      <c r="AG174" s="451">
        <v>520994.53</v>
      </c>
      <c r="AH174" s="451">
        <v>0</v>
      </c>
      <c r="AI174" s="451">
        <v>0</v>
      </c>
      <c r="AJ174" s="451">
        <v>0</v>
      </c>
      <c r="AK174" s="462"/>
      <c r="AL174" s="453" t="s">
        <v>108</v>
      </c>
      <c r="AM174" s="451">
        <v>473232.15288969874</v>
      </c>
      <c r="AN174" s="453" t="s">
        <v>108</v>
      </c>
      <c r="AO174" s="453">
        <v>28</v>
      </c>
      <c r="AP174" s="453">
        <v>9</v>
      </c>
      <c r="AQ174" s="458">
        <v>0.3242266004375704</v>
      </c>
      <c r="AS174" s="459" t="s">
        <v>104</v>
      </c>
      <c r="AT174" s="453" t="s">
        <v>109</v>
      </c>
      <c r="AU174" s="464" t="s">
        <v>432</v>
      </c>
      <c r="AV174" s="460" t="s">
        <v>36</v>
      </c>
      <c r="AW174" s="453" t="s">
        <v>1431</v>
      </c>
      <c r="BA174" s="464" t="str">
        <f>_xlfn.XLOOKUP(B174,'School List from APT'!A:A,'School List from APT'!C:C,"",FALSE)</f>
        <v>St Matthew's CofE Primary School</v>
      </c>
    </row>
    <row r="175" spans="1:53" x14ac:dyDescent="0.25">
      <c r="A175" s="453" t="s">
        <v>434</v>
      </c>
      <c r="B175" s="453">
        <v>3346</v>
      </c>
      <c r="C175" s="453">
        <v>3346</v>
      </c>
      <c r="D175" s="453" t="s">
        <v>435</v>
      </c>
      <c r="F175" s="454" t="s">
        <v>162</v>
      </c>
      <c r="G175" s="454" t="s">
        <v>36</v>
      </c>
      <c r="H175" s="451">
        <v>-104796.58028947376</v>
      </c>
      <c r="I175" s="451">
        <v>0</v>
      </c>
      <c r="J175" s="455">
        <v>-104796.58028947376</v>
      </c>
      <c r="K175" s="451">
        <v>959841.49085720582</v>
      </c>
      <c r="L175" s="451">
        <v>170000.125</v>
      </c>
      <c r="M175" s="451">
        <v>0</v>
      </c>
      <c r="N175" s="451">
        <v>1129841.6158572058</v>
      </c>
      <c r="O175" s="451">
        <v>8175</v>
      </c>
      <c r="P175" s="451">
        <v>58369.5</v>
      </c>
      <c r="Q175" s="451">
        <v>0</v>
      </c>
      <c r="R175" s="451">
        <v>0</v>
      </c>
      <c r="S175" s="451">
        <v>66544.5</v>
      </c>
      <c r="T175" s="451">
        <v>1196386.1158572058</v>
      </c>
      <c r="U175" s="451">
        <v>0</v>
      </c>
      <c r="V175" s="451">
        <v>1091589.5355677321</v>
      </c>
      <c r="W175" s="451">
        <v>1279697.2</v>
      </c>
      <c r="X175" s="451">
        <v>0</v>
      </c>
      <c r="Y175" s="451"/>
      <c r="Z175" s="451"/>
      <c r="AA175" s="456"/>
      <c r="AB175" s="451">
        <v>1279697.2</v>
      </c>
      <c r="AC175" s="451">
        <v>-188107.66443226789</v>
      </c>
      <c r="AD175" s="451">
        <v>0</v>
      </c>
      <c r="AE175" s="457">
        <v>-188107.66443226789</v>
      </c>
      <c r="AF175" s="451">
        <v>-83311.084142794134</v>
      </c>
      <c r="AG175" s="451">
        <v>-104796.58028947376</v>
      </c>
      <c r="AH175" s="451">
        <v>0</v>
      </c>
      <c r="AI175" s="451">
        <v>0</v>
      </c>
      <c r="AJ175" s="451">
        <v>0</v>
      </c>
      <c r="AK175" s="462"/>
      <c r="AL175" s="453" t="s">
        <v>103</v>
      </c>
      <c r="AM175" s="451">
        <v>-188107.66443226789</v>
      </c>
      <c r="AN175" s="453" t="s">
        <v>103</v>
      </c>
      <c r="AO175" s="453">
        <v>165</v>
      </c>
      <c r="AP175" s="453">
        <v>167</v>
      </c>
      <c r="AQ175" s="458">
        <v>-0.15722989588314432</v>
      </c>
      <c r="AS175" s="459" t="s">
        <v>104</v>
      </c>
      <c r="AT175" s="453" t="s">
        <v>104</v>
      </c>
      <c r="AU175" s="464" t="s">
        <v>434</v>
      </c>
      <c r="AV175" s="460" t="s">
        <v>36</v>
      </c>
      <c r="AW175" s="453" t="s">
        <v>1430</v>
      </c>
      <c r="BA175" s="464" t="str">
        <f>_xlfn.XLOOKUP(B175,'School List from APT'!A:A,'School List from APT'!C:C,"",FALSE)</f>
        <v>St Patrick's Catholic Primary School</v>
      </c>
    </row>
    <row r="176" spans="1:53" x14ac:dyDescent="0.25">
      <c r="A176" s="453" t="s">
        <v>436</v>
      </c>
      <c r="B176" s="453">
        <v>3428</v>
      </c>
      <c r="C176" s="453">
        <v>3428</v>
      </c>
      <c r="D176" s="453" t="s">
        <v>437</v>
      </c>
      <c r="E176" s="453" t="s">
        <v>83</v>
      </c>
      <c r="F176" s="454" t="s">
        <v>162</v>
      </c>
      <c r="G176" s="454" t="s">
        <v>107</v>
      </c>
      <c r="H176" s="451">
        <v>329354.50561647536</v>
      </c>
      <c r="I176" s="451">
        <v>4.3835246469825506E-3</v>
      </c>
      <c r="J176" s="455">
        <v>329354.51</v>
      </c>
      <c r="K176" s="451">
        <v>1925269.1814991659</v>
      </c>
      <c r="L176" s="451">
        <v>224865.375</v>
      </c>
      <c r="M176" s="451">
        <v>2135.5175675675855</v>
      </c>
      <c r="N176" s="451">
        <v>2152270.0740667335</v>
      </c>
      <c r="O176" s="451">
        <v>16447.205999999998</v>
      </c>
      <c r="P176" s="451">
        <v>0</v>
      </c>
      <c r="Q176" s="451">
        <v>0</v>
      </c>
      <c r="R176" s="451">
        <v>0</v>
      </c>
      <c r="S176" s="451">
        <v>16447.205999999998</v>
      </c>
      <c r="T176" s="451">
        <v>2168717.2800667332</v>
      </c>
      <c r="U176" s="451">
        <v>0</v>
      </c>
      <c r="V176" s="451">
        <v>2498071.790066733</v>
      </c>
      <c r="W176" s="451">
        <v>2222689</v>
      </c>
      <c r="X176" s="451">
        <v>0</v>
      </c>
      <c r="Y176" s="451"/>
      <c r="Z176" s="451"/>
      <c r="AA176" s="456"/>
      <c r="AB176" s="451">
        <v>2222689</v>
      </c>
      <c r="AC176" s="451">
        <v>275382.79006673303</v>
      </c>
      <c r="AD176" s="451">
        <v>0</v>
      </c>
      <c r="AE176" s="457">
        <v>275382.79006673303</v>
      </c>
      <c r="AF176" s="451">
        <v>-53971.719933266984</v>
      </c>
      <c r="AG176" s="451">
        <v>329354.51</v>
      </c>
      <c r="AH176" s="451">
        <v>0</v>
      </c>
      <c r="AI176" s="451">
        <v>0</v>
      </c>
      <c r="AJ176" s="451">
        <v>0</v>
      </c>
      <c r="AK176" s="462"/>
      <c r="AL176" s="453" t="s">
        <v>108</v>
      </c>
      <c r="AM176" s="451">
        <v>275382.79006673303</v>
      </c>
      <c r="AN176" s="453" t="s">
        <v>108</v>
      </c>
      <c r="AO176" s="453">
        <v>66</v>
      </c>
      <c r="AP176" s="453">
        <v>82</v>
      </c>
      <c r="AQ176" s="458">
        <v>0.12697957110308969</v>
      </c>
      <c r="AS176" s="459" t="s">
        <v>104</v>
      </c>
      <c r="AT176" s="453" t="s">
        <v>109</v>
      </c>
      <c r="AU176" s="464" t="s">
        <v>436</v>
      </c>
      <c r="AV176" s="460" t="s">
        <v>36</v>
      </c>
      <c r="AW176" s="453" t="s">
        <v>1431</v>
      </c>
      <c r="BA176" s="464" t="str">
        <f>_xlfn.XLOOKUP(B176,'School List from APT'!A:A,'School List from APT'!C:C,"",FALSE)</f>
        <v>St Peters CofE Primary School</v>
      </c>
    </row>
    <row r="177" spans="1:53" x14ac:dyDescent="0.25">
      <c r="A177" s="453" t="s">
        <v>438</v>
      </c>
      <c r="B177" s="453">
        <v>3385</v>
      </c>
      <c r="C177" s="453">
        <v>3385</v>
      </c>
      <c r="D177" s="453" t="s">
        <v>439</v>
      </c>
      <c r="F177" s="454" t="s">
        <v>162</v>
      </c>
      <c r="G177" s="454" t="s">
        <v>36</v>
      </c>
      <c r="H177" s="451">
        <v>196590.5265073865</v>
      </c>
      <c r="I177" s="451">
        <v>0</v>
      </c>
      <c r="J177" s="455">
        <v>196590.5265073865</v>
      </c>
      <c r="K177" s="451">
        <v>1036983.1731460115</v>
      </c>
      <c r="L177" s="451">
        <v>174106.375</v>
      </c>
      <c r="M177" s="451">
        <v>0</v>
      </c>
      <c r="N177" s="451">
        <v>1211089.5481460115</v>
      </c>
      <c r="O177" s="451">
        <v>52910.35766666667</v>
      </c>
      <c r="P177" s="451">
        <v>0</v>
      </c>
      <c r="Q177" s="451">
        <v>0</v>
      </c>
      <c r="R177" s="451">
        <v>0</v>
      </c>
      <c r="S177" s="451">
        <v>52910.35766666667</v>
      </c>
      <c r="T177" s="451">
        <v>1263999.9058126782</v>
      </c>
      <c r="U177" s="451">
        <v>0</v>
      </c>
      <c r="V177" s="451">
        <v>1460590.4323200646</v>
      </c>
      <c r="W177" s="451">
        <v>1203441.6000000001</v>
      </c>
      <c r="X177" s="451">
        <v>0</v>
      </c>
      <c r="Y177" s="451"/>
      <c r="Z177" s="451"/>
      <c r="AA177" s="456"/>
      <c r="AB177" s="451">
        <v>1203441.6000000001</v>
      </c>
      <c r="AC177" s="451">
        <v>257148.83232006454</v>
      </c>
      <c r="AD177" s="451">
        <v>275.22673711034111</v>
      </c>
      <c r="AE177" s="457">
        <v>257424.05905717489</v>
      </c>
      <c r="AF177" s="451">
        <v>60833.53254978839</v>
      </c>
      <c r="AG177" s="451">
        <v>196590.5265073865</v>
      </c>
      <c r="AH177" s="451">
        <v>196590.5265073865</v>
      </c>
      <c r="AI177" s="451">
        <v>60554.477407300583</v>
      </c>
      <c r="AJ177" s="451">
        <v>275.22673711034111</v>
      </c>
      <c r="AK177" s="462"/>
      <c r="AL177" s="453" t="s">
        <v>108</v>
      </c>
      <c r="AM177" s="451">
        <v>257424.05905717489</v>
      </c>
      <c r="AN177" s="453" t="s">
        <v>108</v>
      </c>
      <c r="AO177" s="453">
        <v>74</v>
      </c>
      <c r="AP177" s="453">
        <v>37</v>
      </c>
      <c r="AQ177" s="458">
        <v>0.20365828974620551</v>
      </c>
      <c r="AS177" s="459" t="s">
        <v>104</v>
      </c>
      <c r="AT177" s="453" t="s">
        <v>104</v>
      </c>
      <c r="AU177" s="464" t="s">
        <v>438</v>
      </c>
      <c r="AV177" s="460" t="s">
        <v>36</v>
      </c>
      <c r="AW177" s="453" t="s">
        <v>1430</v>
      </c>
      <c r="BA177" s="464" t="str">
        <f>_xlfn.XLOOKUP(B177,'School List from APT'!A:A,'School List from APT'!C:C,"",FALSE)</f>
        <v>St Peter's Catholic Primary School</v>
      </c>
    </row>
    <row r="178" spans="1:53" x14ac:dyDescent="0.25">
      <c r="A178" s="453" t="s">
        <v>440</v>
      </c>
      <c r="B178" s="453">
        <v>3019</v>
      </c>
      <c r="C178" s="453">
        <v>3019</v>
      </c>
      <c r="D178" s="453" t="s">
        <v>441</v>
      </c>
      <c r="F178" s="454" t="s">
        <v>162</v>
      </c>
      <c r="G178" s="454" t="s">
        <v>36</v>
      </c>
      <c r="H178" s="451">
        <v>554320.50333257089</v>
      </c>
      <c r="I178" s="451">
        <v>0</v>
      </c>
      <c r="J178" s="455">
        <v>554320.50333257089</v>
      </c>
      <c r="K178" s="451">
        <v>2023326.7826408674</v>
      </c>
      <c r="L178" s="451">
        <v>341096</v>
      </c>
      <c r="M178" s="451">
        <v>0</v>
      </c>
      <c r="N178" s="451">
        <v>2364422.7826408674</v>
      </c>
      <c r="O178" s="451">
        <v>85948.401166666677</v>
      </c>
      <c r="P178" s="451">
        <v>0</v>
      </c>
      <c r="Q178" s="451">
        <v>0</v>
      </c>
      <c r="R178" s="451">
        <v>0</v>
      </c>
      <c r="S178" s="451">
        <v>85948.401166666677</v>
      </c>
      <c r="T178" s="451">
        <v>2450371.1838075342</v>
      </c>
      <c r="U178" s="451">
        <v>0</v>
      </c>
      <c r="V178" s="451">
        <v>3004691.6871401053</v>
      </c>
      <c r="W178" s="451">
        <v>2451783.7999999998</v>
      </c>
      <c r="X178" s="451">
        <v>0</v>
      </c>
      <c r="Y178" s="451"/>
      <c r="Z178" s="451"/>
      <c r="AA178" s="456"/>
      <c r="AB178" s="451">
        <v>2451783.7999999998</v>
      </c>
      <c r="AC178" s="451">
        <v>552907.88714010548</v>
      </c>
      <c r="AD178" s="451">
        <v>774.07104199614776</v>
      </c>
      <c r="AE178" s="457">
        <v>553681.9581821016</v>
      </c>
      <c r="AF178" s="451">
        <v>-638.54515046929009</v>
      </c>
      <c r="AG178" s="451">
        <v>554320.50333257089</v>
      </c>
      <c r="AH178" s="451">
        <v>552907.88714010548</v>
      </c>
      <c r="AI178" s="451">
        <v>118221.13913204338</v>
      </c>
      <c r="AJ178" s="451">
        <v>774.07104199614776</v>
      </c>
      <c r="AK178" s="462"/>
      <c r="AL178" s="453" t="s">
        <v>108</v>
      </c>
      <c r="AM178" s="451">
        <v>553681.9581821016</v>
      </c>
      <c r="AN178" s="453" t="s">
        <v>108</v>
      </c>
      <c r="AO178" s="453">
        <v>18</v>
      </c>
      <c r="AP178" s="453">
        <v>23</v>
      </c>
      <c r="AQ178" s="458">
        <v>0.22595840248241789</v>
      </c>
      <c r="AS178" s="459" t="s">
        <v>104</v>
      </c>
      <c r="AT178" s="453" t="s">
        <v>104</v>
      </c>
      <c r="AU178" s="464" t="s">
        <v>440</v>
      </c>
      <c r="AV178" s="460" t="s">
        <v>36</v>
      </c>
      <c r="AW178" s="453" t="s">
        <v>1430</v>
      </c>
      <c r="BA178" s="464" t="str">
        <f>_xlfn.XLOOKUP(B178,'School List from APT'!A:A,'School List from APT'!C:C,"",FALSE)</f>
        <v>St Saviour's C of E Primary School</v>
      </c>
    </row>
    <row r="179" spans="1:53" x14ac:dyDescent="0.25">
      <c r="A179" s="453" t="s">
        <v>442</v>
      </c>
      <c r="B179" s="453">
        <v>3365</v>
      </c>
      <c r="C179" s="453">
        <v>3365</v>
      </c>
      <c r="D179" s="453" t="s">
        <v>443</v>
      </c>
      <c r="F179" s="454" t="s">
        <v>162</v>
      </c>
      <c r="G179" s="454" t="s">
        <v>36</v>
      </c>
      <c r="H179" s="451">
        <v>171206.98394574373</v>
      </c>
      <c r="I179" s="451">
        <v>0</v>
      </c>
      <c r="J179" s="455">
        <v>171206.98394574373</v>
      </c>
      <c r="K179" s="451">
        <v>983368.95169907401</v>
      </c>
      <c r="L179" s="451">
        <v>117909.125</v>
      </c>
      <c r="M179" s="451">
        <v>0</v>
      </c>
      <c r="N179" s="451">
        <v>1101278.0766990739</v>
      </c>
      <c r="O179" s="451">
        <v>49377.889166666668</v>
      </c>
      <c r="P179" s="451">
        <v>0</v>
      </c>
      <c r="Q179" s="451">
        <v>0</v>
      </c>
      <c r="R179" s="451">
        <v>0</v>
      </c>
      <c r="S179" s="451">
        <v>49377.889166666668</v>
      </c>
      <c r="T179" s="451">
        <v>1150655.9658657406</v>
      </c>
      <c r="U179" s="451">
        <v>0</v>
      </c>
      <c r="V179" s="451">
        <v>1321862.9498114842</v>
      </c>
      <c r="W179" s="451">
        <v>1074602.2</v>
      </c>
      <c r="X179" s="451">
        <v>0</v>
      </c>
      <c r="Y179" s="451"/>
      <c r="Z179" s="451"/>
      <c r="AA179" s="456"/>
      <c r="AB179" s="451">
        <v>1074602.2</v>
      </c>
      <c r="AC179" s="451">
        <v>247260.74981148425</v>
      </c>
      <c r="AD179" s="451">
        <v>239.68977752404123</v>
      </c>
      <c r="AE179" s="457">
        <v>247500.43958900828</v>
      </c>
      <c r="AF179" s="451">
        <v>76293.455643264548</v>
      </c>
      <c r="AG179" s="451">
        <v>171206.98394574373</v>
      </c>
      <c r="AH179" s="451">
        <v>171206.98394574373</v>
      </c>
      <c r="AI179" s="451">
        <v>55063.9038349537</v>
      </c>
      <c r="AJ179" s="451">
        <v>239.68977752404123</v>
      </c>
      <c r="AK179" s="462"/>
      <c r="AL179" s="453" t="s">
        <v>108</v>
      </c>
      <c r="AM179" s="451">
        <v>247500.43958900828</v>
      </c>
      <c r="AN179" s="453" t="s">
        <v>108</v>
      </c>
      <c r="AO179" s="453">
        <v>78</v>
      </c>
      <c r="AP179" s="453">
        <v>27</v>
      </c>
      <c r="AQ179" s="458">
        <v>0.21509508222363558</v>
      </c>
      <c r="AS179" s="459" t="s">
        <v>104</v>
      </c>
      <c r="AT179" s="453" t="s">
        <v>104</v>
      </c>
      <c r="AU179" s="464" t="s">
        <v>442</v>
      </c>
      <c r="AV179" s="460" t="s">
        <v>36</v>
      </c>
      <c r="AW179" s="453" t="s">
        <v>1430</v>
      </c>
      <c r="BA179" s="464" t="str">
        <f>_xlfn.XLOOKUP(B179,'School List from APT'!A:A,'School List from APT'!C:C,"",FALSE)</f>
        <v>St Teresa's Catholic Primary School</v>
      </c>
    </row>
    <row r="180" spans="1:53" x14ac:dyDescent="0.25">
      <c r="A180" s="453" t="s">
        <v>444</v>
      </c>
      <c r="B180" s="453">
        <v>3310</v>
      </c>
      <c r="C180" s="453">
        <v>3310</v>
      </c>
      <c r="D180" s="453" t="s">
        <v>445</v>
      </c>
      <c r="E180" s="453" t="s">
        <v>83</v>
      </c>
      <c r="F180" s="454" t="s">
        <v>162</v>
      </c>
      <c r="G180" s="454" t="s">
        <v>36</v>
      </c>
      <c r="H180" s="451">
        <v>194540.65021076254</v>
      </c>
      <c r="I180" s="451">
        <v>0</v>
      </c>
      <c r="J180" s="455">
        <v>194540.65021076254</v>
      </c>
      <c r="K180" s="451">
        <v>1243211.3517400618</v>
      </c>
      <c r="L180" s="451">
        <v>238089.375</v>
      </c>
      <c r="M180" s="451">
        <v>-7015.3500000000204</v>
      </c>
      <c r="N180" s="451">
        <v>1474285.3767400617</v>
      </c>
      <c r="O180" s="451">
        <v>34240.515083333332</v>
      </c>
      <c r="P180" s="451">
        <v>0</v>
      </c>
      <c r="Q180" s="451">
        <v>0</v>
      </c>
      <c r="R180" s="451">
        <v>0</v>
      </c>
      <c r="S180" s="451">
        <v>34240.515083333332</v>
      </c>
      <c r="T180" s="451">
        <v>1508525.8918233949</v>
      </c>
      <c r="U180" s="451">
        <v>0</v>
      </c>
      <c r="V180" s="451">
        <v>1703066.5420341576</v>
      </c>
      <c r="W180" s="451">
        <v>1546207.24</v>
      </c>
      <c r="X180" s="451">
        <v>0</v>
      </c>
      <c r="Y180" s="451"/>
      <c r="Z180" s="451"/>
      <c r="AA180" s="456"/>
      <c r="AB180" s="451">
        <v>1546207.24</v>
      </c>
      <c r="AC180" s="451">
        <v>156859.30203415756</v>
      </c>
      <c r="AD180" s="451">
        <v>219.60302284782057</v>
      </c>
      <c r="AE180" s="457">
        <v>157078.90505700538</v>
      </c>
      <c r="AF180" s="451">
        <v>-37461.745153757161</v>
      </c>
      <c r="AG180" s="451">
        <v>194540.65021076254</v>
      </c>
      <c r="AH180" s="451">
        <v>156859.30203415756</v>
      </c>
      <c r="AI180" s="451">
        <v>73714.268837003081</v>
      </c>
      <c r="AJ180" s="451">
        <v>219.60302284782057</v>
      </c>
      <c r="AK180" s="462"/>
      <c r="AL180" s="453" t="s">
        <v>108</v>
      </c>
      <c r="AM180" s="451">
        <v>157078.90505700538</v>
      </c>
      <c r="AN180" s="453" t="s">
        <v>108</v>
      </c>
      <c r="AO180" s="453">
        <v>102</v>
      </c>
      <c r="AP180" s="453">
        <v>96</v>
      </c>
      <c r="AQ180" s="458">
        <v>0.10412741730746164</v>
      </c>
      <c r="AS180" s="459" t="s">
        <v>104</v>
      </c>
      <c r="AT180" s="453" t="s">
        <v>104</v>
      </c>
      <c r="AU180" s="464" t="s">
        <v>444</v>
      </c>
      <c r="AV180" s="460" t="s">
        <v>36</v>
      </c>
      <c r="AW180" s="453" t="s">
        <v>1430</v>
      </c>
      <c r="BA180" s="464" t="str">
        <f>_xlfn.XLOOKUP(B180,'School List from APT'!A:A,'School List from APT'!C:C,"",FALSE)</f>
        <v>St Vincent's Catholic Primary School</v>
      </c>
    </row>
    <row r="181" spans="1:53" x14ac:dyDescent="0.25">
      <c r="A181" s="453" t="s">
        <v>446</v>
      </c>
      <c r="B181" s="453">
        <v>3359</v>
      </c>
      <c r="C181" s="453">
        <v>3359</v>
      </c>
      <c r="D181" s="453" t="s">
        <v>447</v>
      </c>
      <c r="E181" s="453" t="s">
        <v>83</v>
      </c>
      <c r="F181" s="454" t="s">
        <v>857</v>
      </c>
      <c r="G181" s="454" t="s">
        <v>107</v>
      </c>
      <c r="H181" s="451">
        <v>309920.52064633137</v>
      </c>
      <c r="I181" s="451"/>
      <c r="J181" s="455">
        <v>309920.52064633137</v>
      </c>
      <c r="K181" s="451">
        <v>75577.959405285816</v>
      </c>
      <c r="L181" s="451">
        <v>0</v>
      </c>
      <c r="M181" s="451">
        <v>-5173.3828571428458</v>
      </c>
      <c r="N181" s="451">
        <v>70404.57654814297</v>
      </c>
      <c r="O181" s="451">
        <v>0</v>
      </c>
      <c r="P181" s="451">
        <v>0</v>
      </c>
      <c r="Q181" s="451">
        <v>0</v>
      </c>
      <c r="R181" s="451">
        <v>0</v>
      </c>
      <c r="S181" s="451">
        <v>0</v>
      </c>
      <c r="T181" s="451">
        <v>70404.57654814297</v>
      </c>
      <c r="U181" s="451">
        <v>0</v>
      </c>
      <c r="V181" s="451">
        <v>380325.09719447431</v>
      </c>
      <c r="W181" s="451">
        <v>304229.36</v>
      </c>
      <c r="X181" s="451">
        <v>0</v>
      </c>
      <c r="Y181" s="451"/>
      <c r="Z181" s="451"/>
      <c r="AA181" s="456"/>
      <c r="AB181" s="451">
        <v>304229.36</v>
      </c>
      <c r="AC181" s="451">
        <v>76095.737194474321</v>
      </c>
      <c r="AD181" s="451">
        <v>0</v>
      </c>
      <c r="AE181" s="457">
        <v>76095.737194474321</v>
      </c>
      <c r="AF181" s="451">
        <v>-233824.78345185705</v>
      </c>
      <c r="AG181" s="451">
        <v>309920.52064633137</v>
      </c>
      <c r="AH181" s="451">
        <v>0</v>
      </c>
      <c r="AI181" s="451">
        <v>0</v>
      </c>
      <c r="AJ181" s="451">
        <v>0</v>
      </c>
      <c r="AK181" s="462"/>
      <c r="AL181" s="453" t="s">
        <v>1432</v>
      </c>
      <c r="AM181" s="451">
        <v>76095.737194474321</v>
      </c>
      <c r="AN181" s="453" t="s">
        <v>1432</v>
      </c>
      <c r="AO181" s="453">
        <v>133</v>
      </c>
      <c r="AP181" s="453">
        <v>1</v>
      </c>
      <c r="AQ181" s="458">
        <v>1.0808350951793559</v>
      </c>
      <c r="AR181" s="453"/>
      <c r="AS181" s="459" t="s">
        <v>104</v>
      </c>
      <c r="AT181" s="453" t="s">
        <v>109</v>
      </c>
      <c r="AU181" s="453" t="s">
        <v>446</v>
      </c>
      <c r="AV181" s="460" t="s">
        <v>36</v>
      </c>
      <c r="AW181" s="453" t="s">
        <v>1433</v>
      </c>
      <c r="BA181" s="464" t="str">
        <f>_xlfn.XLOOKUP(B181,'School List from APT'!A:A,'School List from APT'!C:C,"",FALSE)</f>
        <v>St Wilfrid's Catholic Junior and Infant School</v>
      </c>
    </row>
    <row r="182" spans="1:53" x14ac:dyDescent="0.25">
      <c r="A182" s="453" t="s">
        <v>448</v>
      </c>
      <c r="B182" s="453">
        <v>2178</v>
      </c>
      <c r="C182" s="453">
        <v>2178</v>
      </c>
      <c r="D182" s="453" t="s">
        <v>449</v>
      </c>
      <c r="E182" s="453" t="s">
        <v>83</v>
      </c>
      <c r="F182" s="454" t="s">
        <v>162</v>
      </c>
      <c r="G182" s="454" t="s">
        <v>36</v>
      </c>
      <c r="H182" s="451">
        <v>236939.45396645859</v>
      </c>
      <c r="I182" s="451">
        <v>0</v>
      </c>
      <c r="J182" s="455">
        <v>236939.45396645859</v>
      </c>
      <c r="K182" s="451">
        <v>1352874.7536306889</v>
      </c>
      <c r="L182" s="451">
        <v>176857.49</v>
      </c>
      <c r="M182" s="451">
        <v>-24393.322758620692</v>
      </c>
      <c r="N182" s="451">
        <v>1505338.9208720683</v>
      </c>
      <c r="O182" s="451">
        <v>6789.255000000001</v>
      </c>
      <c r="P182" s="451">
        <v>0</v>
      </c>
      <c r="Q182" s="451">
        <v>0</v>
      </c>
      <c r="R182" s="451">
        <v>0</v>
      </c>
      <c r="S182" s="451">
        <v>6789.255000000001</v>
      </c>
      <c r="T182" s="451">
        <v>1512128.1758720682</v>
      </c>
      <c r="U182" s="451">
        <v>0</v>
      </c>
      <c r="V182" s="451">
        <v>1749067.6298385267</v>
      </c>
      <c r="W182" s="451">
        <v>1625842.02</v>
      </c>
      <c r="X182" s="451">
        <v>-3405</v>
      </c>
      <c r="Y182" s="451"/>
      <c r="Z182" s="451"/>
      <c r="AA182" s="456"/>
      <c r="AB182" s="451">
        <v>1622437.02</v>
      </c>
      <c r="AC182" s="451">
        <v>126630.6098385267</v>
      </c>
      <c r="AD182" s="451">
        <v>177.28285377393735</v>
      </c>
      <c r="AE182" s="457">
        <v>126807.89269230064</v>
      </c>
      <c r="AF182" s="451">
        <v>-110131.56127415795</v>
      </c>
      <c r="AG182" s="451">
        <v>236939.45396645859</v>
      </c>
      <c r="AH182" s="451">
        <v>126630.6098385267</v>
      </c>
      <c r="AI182" s="451">
        <v>75266.946043603413</v>
      </c>
      <c r="AJ182" s="451">
        <v>177.28285377393735</v>
      </c>
      <c r="AK182" s="462"/>
      <c r="AL182" s="453" t="s">
        <v>108</v>
      </c>
      <c r="AM182" s="451">
        <v>126807.89269230064</v>
      </c>
      <c r="AN182" s="453" t="s">
        <v>108</v>
      </c>
      <c r="AO182" s="453">
        <v>111</v>
      </c>
      <c r="AP182" s="453">
        <v>111</v>
      </c>
      <c r="AQ182" s="458">
        <v>8.3860544837191811E-2</v>
      </c>
      <c r="AR182" s="453"/>
      <c r="AS182" s="459" t="s">
        <v>104</v>
      </c>
      <c r="AT182" s="453" t="s">
        <v>104</v>
      </c>
      <c r="AU182" s="453" t="s">
        <v>448</v>
      </c>
      <c r="AV182" s="460" t="s">
        <v>36</v>
      </c>
      <c r="AW182" s="453" t="s">
        <v>1430</v>
      </c>
      <c r="BA182" s="464" t="str">
        <f>_xlfn.XLOOKUP(B182,'School List from APT'!A:A,'School List from APT'!C:C,"",FALSE)</f>
        <v>Stanville Primary School</v>
      </c>
    </row>
    <row r="183" spans="1:53" x14ac:dyDescent="0.25">
      <c r="A183" s="453" t="s">
        <v>451</v>
      </c>
      <c r="B183" s="453">
        <v>2184</v>
      </c>
      <c r="C183" s="453">
        <v>2184</v>
      </c>
      <c r="D183" s="453" t="s">
        <v>452</v>
      </c>
      <c r="E183" s="453" t="s">
        <v>83</v>
      </c>
      <c r="F183" s="454" t="s">
        <v>162</v>
      </c>
      <c r="G183" s="454" t="s">
        <v>36</v>
      </c>
      <c r="H183" s="451">
        <v>615548.98233024043</v>
      </c>
      <c r="I183" s="451">
        <v>0</v>
      </c>
      <c r="J183" s="455">
        <v>615548.98233024043</v>
      </c>
      <c r="K183" s="451">
        <v>2061998.4757313908</v>
      </c>
      <c r="L183" s="451">
        <v>271584.875</v>
      </c>
      <c r="M183" s="451">
        <v>-9218.4586956521816</v>
      </c>
      <c r="N183" s="451">
        <v>2324364.8920357386</v>
      </c>
      <c r="O183" s="451">
        <v>21696.830833333333</v>
      </c>
      <c r="P183" s="451">
        <v>0</v>
      </c>
      <c r="Q183" s="451">
        <v>0</v>
      </c>
      <c r="R183" s="451">
        <v>0</v>
      </c>
      <c r="S183" s="451">
        <v>21696.830833333333</v>
      </c>
      <c r="T183" s="451">
        <v>2346061.7228690721</v>
      </c>
      <c r="U183" s="451">
        <v>0</v>
      </c>
      <c r="V183" s="451">
        <v>2961610.7051993124</v>
      </c>
      <c r="W183" s="451">
        <v>2312095.0099999998</v>
      </c>
      <c r="X183" s="451">
        <v>-9000</v>
      </c>
      <c r="Y183" s="451"/>
      <c r="Z183" s="451"/>
      <c r="AA183" s="456"/>
      <c r="AB183" s="451">
        <v>2303095.0099999998</v>
      </c>
      <c r="AC183" s="451">
        <v>658515.69519931264</v>
      </c>
      <c r="AD183" s="451">
        <v>861.76857526233653</v>
      </c>
      <c r="AE183" s="457">
        <v>659377.46377457492</v>
      </c>
      <c r="AF183" s="451">
        <v>43828.481444334495</v>
      </c>
      <c r="AG183" s="451">
        <v>615548.98233024043</v>
      </c>
      <c r="AH183" s="451">
        <v>615548.98233024043</v>
      </c>
      <c r="AI183" s="451">
        <v>116218.24460178694</v>
      </c>
      <c r="AJ183" s="451">
        <v>861.76857526233653</v>
      </c>
      <c r="AK183" s="462"/>
      <c r="AL183" s="453" t="s">
        <v>108</v>
      </c>
      <c r="AM183" s="451">
        <v>659377.46377457492</v>
      </c>
      <c r="AN183" s="453" t="s">
        <v>108</v>
      </c>
      <c r="AO183" s="453">
        <v>12</v>
      </c>
      <c r="AP183" s="453">
        <v>15</v>
      </c>
      <c r="AQ183" s="458">
        <v>0.28105716799650166</v>
      </c>
      <c r="AS183" s="459" t="s">
        <v>104</v>
      </c>
      <c r="AT183" s="453" t="s">
        <v>104</v>
      </c>
      <c r="AU183" s="464" t="s">
        <v>451</v>
      </c>
      <c r="AV183" s="460" t="s">
        <v>36</v>
      </c>
      <c r="AW183" s="453" t="s">
        <v>1430</v>
      </c>
      <c r="BA183" s="464" t="str">
        <f>_xlfn.XLOOKUP(B183,'School List from APT'!A:A,'School List from APT'!C:C,"",FALSE)</f>
        <v>Stechford Primary School</v>
      </c>
    </row>
    <row r="184" spans="1:53" x14ac:dyDescent="0.25">
      <c r="A184" s="453" t="s">
        <v>453</v>
      </c>
      <c r="B184" s="453">
        <v>2067</v>
      </c>
      <c r="C184" s="453">
        <v>2067</v>
      </c>
      <c r="D184" s="453" t="s">
        <v>454</v>
      </c>
      <c r="E184" s="453" t="s">
        <v>83</v>
      </c>
      <c r="F184" s="454" t="s">
        <v>162</v>
      </c>
      <c r="G184" s="454" t="s">
        <v>36</v>
      </c>
      <c r="H184" s="451">
        <v>430451.96217785013</v>
      </c>
      <c r="I184" s="451">
        <v>0</v>
      </c>
      <c r="J184" s="455">
        <v>430451.96217785013</v>
      </c>
      <c r="K184" s="451">
        <v>2234352.8485395475</v>
      </c>
      <c r="L184" s="451">
        <v>350235.625</v>
      </c>
      <c r="M184" s="451">
        <v>-18705.571874999994</v>
      </c>
      <c r="N184" s="451">
        <v>2565882.9016645476</v>
      </c>
      <c r="O184" s="451">
        <v>0</v>
      </c>
      <c r="P184" s="451">
        <v>0</v>
      </c>
      <c r="Q184" s="451">
        <v>0</v>
      </c>
      <c r="R184" s="451">
        <v>0</v>
      </c>
      <c r="S184" s="451">
        <v>0</v>
      </c>
      <c r="T184" s="451">
        <v>2565882.9016645476</v>
      </c>
      <c r="U184" s="451">
        <v>0</v>
      </c>
      <c r="V184" s="451">
        <v>2996334.8638423979</v>
      </c>
      <c r="W184" s="451">
        <v>2610480.5</v>
      </c>
      <c r="X184" s="451">
        <v>-1867.64</v>
      </c>
      <c r="Y184" s="451"/>
      <c r="Z184" s="495"/>
      <c r="AA184" s="456"/>
      <c r="AB184" s="451">
        <v>2608612.86</v>
      </c>
      <c r="AC184" s="451">
        <v>387722.00384239806</v>
      </c>
      <c r="AD184" s="496">
        <v>542.81080537935736</v>
      </c>
      <c r="AE184" s="457">
        <v>388264.81464777741</v>
      </c>
      <c r="AF184" s="451">
        <v>-42187.147530072718</v>
      </c>
      <c r="AG184" s="451">
        <v>430451.96217785013</v>
      </c>
      <c r="AH184" s="451">
        <v>387722.00384239806</v>
      </c>
      <c r="AI184" s="451">
        <v>128294.14508322738</v>
      </c>
      <c r="AJ184" s="451">
        <v>542.81080537935736</v>
      </c>
      <c r="AK184" s="462"/>
      <c r="AL184" s="453" t="s">
        <v>108</v>
      </c>
      <c r="AM184" s="451">
        <v>388264.81464777741</v>
      </c>
      <c r="AN184" s="453" t="s">
        <v>108</v>
      </c>
      <c r="AO184" s="453">
        <v>38</v>
      </c>
      <c r="AP184" s="453">
        <v>62</v>
      </c>
      <c r="AQ184" s="458">
        <v>0.15131821268846721</v>
      </c>
      <c r="AS184" s="459" t="s">
        <v>104</v>
      </c>
      <c r="AT184" s="453" t="s">
        <v>104</v>
      </c>
      <c r="AU184" s="464" t="s">
        <v>453</v>
      </c>
      <c r="AV184" s="460" t="s">
        <v>36</v>
      </c>
      <c r="AW184" s="453" t="s">
        <v>1430</v>
      </c>
      <c r="BA184" s="464" t="str">
        <f>_xlfn.XLOOKUP(B184,'School List from APT'!A:A,'School List from APT'!C:C,"",FALSE)</f>
        <v>Summerfield Junior and Infant School</v>
      </c>
    </row>
    <row r="185" spans="1:53" x14ac:dyDescent="0.25">
      <c r="A185" s="453" t="s">
        <v>455</v>
      </c>
      <c r="B185" s="453">
        <v>2190</v>
      </c>
      <c r="C185" s="453">
        <v>2190</v>
      </c>
      <c r="D185" s="453" t="s">
        <v>456</v>
      </c>
      <c r="F185" s="454" t="s">
        <v>162</v>
      </c>
      <c r="G185" s="454" t="s">
        <v>36</v>
      </c>
      <c r="H185" s="451">
        <v>202500.92300840191</v>
      </c>
      <c r="I185" s="451">
        <v>0</v>
      </c>
      <c r="J185" s="455">
        <v>202500.92300840191</v>
      </c>
      <c r="K185" s="451">
        <v>975494.50150275603</v>
      </c>
      <c r="L185" s="451">
        <v>211559.5</v>
      </c>
      <c r="M185" s="451">
        <v>0</v>
      </c>
      <c r="N185" s="451">
        <v>1187054.001502756</v>
      </c>
      <c r="O185" s="451">
        <v>15952.392166666665</v>
      </c>
      <c r="P185" s="451">
        <v>0</v>
      </c>
      <c r="Q185" s="451">
        <v>0</v>
      </c>
      <c r="R185" s="451">
        <v>0</v>
      </c>
      <c r="S185" s="451">
        <v>15952.392166666665</v>
      </c>
      <c r="T185" s="451">
        <v>1203006.3936694227</v>
      </c>
      <c r="U185" s="451">
        <v>0</v>
      </c>
      <c r="V185" s="451">
        <v>1405507.3166778246</v>
      </c>
      <c r="W185" s="451">
        <v>1108890.6299999999</v>
      </c>
      <c r="X185" s="451">
        <v>3199</v>
      </c>
      <c r="Y185" s="451"/>
      <c r="Z185" s="451"/>
      <c r="AA185" s="456"/>
      <c r="AB185" s="451">
        <v>1112089.6299999999</v>
      </c>
      <c r="AC185" s="451">
        <v>293417.68667782471</v>
      </c>
      <c r="AD185" s="451">
        <v>283.50129221176269</v>
      </c>
      <c r="AE185" s="457">
        <v>293701.18797003647</v>
      </c>
      <c r="AF185" s="451">
        <v>91200.264961634559</v>
      </c>
      <c r="AG185" s="451">
        <v>202500.92300840191</v>
      </c>
      <c r="AH185" s="451">
        <v>202500.92300840191</v>
      </c>
      <c r="AI185" s="451">
        <v>59352.700075137807</v>
      </c>
      <c r="AJ185" s="451">
        <v>283.50129221176269</v>
      </c>
      <c r="AK185" s="462"/>
      <c r="AL185" s="453" t="s">
        <v>108</v>
      </c>
      <c r="AM185" s="451">
        <v>293701.18797003647</v>
      </c>
      <c r="AN185" s="453" t="s">
        <v>108</v>
      </c>
      <c r="AO185" s="453">
        <v>60</v>
      </c>
      <c r="AP185" s="453">
        <v>18</v>
      </c>
      <c r="AQ185" s="458">
        <v>0.24413934083441238</v>
      </c>
      <c r="AS185" s="459" t="s">
        <v>104</v>
      </c>
      <c r="AT185" s="453" t="s">
        <v>104</v>
      </c>
      <c r="AU185" s="464" t="s">
        <v>455</v>
      </c>
      <c r="AV185" s="460" t="s">
        <v>36</v>
      </c>
      <c r="AW185" s="453" t="s">
        <v>1430</v>
      </c>
      <c r="BA185" s="464" t="str">
        <f>_xlfn.XLOOKUP(B185,'School List from APT'!A:A,'School List from APT'!C:C,"",FALSE)</f>
        <v>Sundridge Primary School</v>
      </c>
    </row>
    <row r="186" spans="1:53" x14ac:dyDescent="0.25">
      <c r="A186" s="453" t="s">
        <v>457</v>
      </c>
      <c r="B186" s="453">
        <v>2192</v>
      </c>
      <c r="C186" s="453">
        <v>2192</v>
      </c>
      <c r="D186" s="453" t="s">
        <v>458</v>
      </c>
      <c r="F186" s="454" t="s">
        <v>162</v>
      </c>
      <c r="G186" s="454" t="s">
        <v>36</v>
      </c>
      <c r="H186" s="451">
        <v>556440.80268046295</v>
      </c>
      <c r="I186" s="451">
        <v>0</v>
      </c>
      <c r="J186" s="455">
        <v>556440.80268046295</v>
      </c>
      <c r="K186" s="451">
        <v>2593621.668542909</v>
      </c>
      <c r="L186" s="451">
        <v>416996.875</v>
      </c>
      <c r="M186" s="451">
        <v>0</v>
      </c>
      <c r="N186" s="451">
        <v>3010618.543542909</v>
      </c>
      <c r="O186" s="451">
        <v>27589.325166666669</v>
      </c>
      <c r="P186" s="451">
        <v>0</v>
      </c>
      <c r="Q186" s="451">
        <v>0</v>
      </c>
      <c r="R186" s="451">
        <v>0</v>
      </c>
      <c r="S186" s="451">
        <v>27589.325166666669</v>
      </c>
      <c r="T186" s="451">
        <v>3038207.8687095759</v>
      </c>
      <c r="U186" s="451">
        <v>0</v>
      </c>
      <c r="V186" s="451">
        <v>3594648.6713900389</v>
      </c>
      <c r="W186" s="451">
        <v>3119227.66</v>
      </c>
      <c r="X186" s="451">
        <v>-10570.24</v>
      </c>
      <c r="Y186" s="451"/>
      <c r="Z186" s="451"/>
      <c r="AA186" s="456"/>
      <c r="AB186" s="451">
        <v>3108657.42</v>
      </c>
      <c r="AC186" s="451">
        <v>485991.25139003899</v>
      </c>
      <c r="AD186" s="451">
        <v>680.38775194605455</v>
      </c>
      <c r="AE186" s="457">
        <v>486671.63914198504</v>
      </c>
      <c r="AF186" s="451">
        <v>-69769.163538477907</v>
      </c>
      <c r="AG186" s="451">
        <v>556440.80268046295</v>
      </c>
      <c r="AH186" s="451">
        <v>485991.25139003899</v>
      </c>
      <c r="AI186" s="451">
        <v>150530.92717714547</v>
      </c>
      <c r="AJ186" s="451">
        <v>680.38775194605455</v>
      </c>
      <c r="AK186" s="462"/>
      <c r="AL186" s="453" t="s">
        <v>108</v>
      </c>
      <c r="AM186" s="451">
        <v>486671.63914198504</v>
      </c>
      <c r="AN186" s="453" t="s">
        <v>108</v>
      </c>
      <c r="AO186" s="453">
        <v>25</v>
      </c>
      <c r="AP186" s="453">
        <v>55</v>
      </c>
      <c r="AQ186" s="458">
        <v>0.16018378602537492</v>
      </c>
      <c r="AS186" s="459" t="s">
        <v>104</v>
      </c>
      <c r="AT186" s="453" t="s">
        <v>104</v>
      </c>
      <c r="AU186" s="464" t="s">
        <v>457</v>
      </c>
      <c r="AV186" s="460" t="s">
        <v>36</v>
      </c>
      <c r="AW186" s="453" t="s">
        <v>1430</v>
      </c>
      <c r="BA186" s="464" t="str">
        <f>_xlfn.XLOOKUP(B186,'School List from APT'!A:A,'School List from APT'!C:C,"",FALSE)</f>
        <v>Thornton Primary School</v>
      </c>
    </row>
    <row r="187" spans="1:53" x14ac:dyDescent="0.25">
      <c r="A187" s="453" t="s">
        <v>459</v>
      </c>
      <c r="B187" s="453">
        <v>5203</v>
      </c>
      <c r="C187" s="453">
        <v>5203</v>
      </c>
      <c r="D187" s="453" t="s">
        <v>460</v>
      </c>
      <c r="E187" s="453" t="s">
        <v>83</v>
      </c>
      <c r="F187" s="454" t="s">
        <v>162</v>
      </c>
      <c r="G187" s="454" t="s">
        <v>107</v>
      </c>
      <c r="H187" s="451">
        <v>77225.941748434911</v>
      </c>
      <c r="I187" s="451">
        <v>-2824.651748434917</v>
      </c>
      <c r="J187" s="455">
        <v>74401.289999999994</v>
      </c>
      <c r="K187" s="451">
        <v>1382128.4680371275</v>
      </c>
      <c r="L187" s="451">
        <v>175634.375</v>
      </c>
      <c r="M187" s="451">
        <v>12541.499999999971</v>
      </c>
      <c r="N187" s="451">
        <v>1570304.3430371275</v>
      </c>
      <c r="O187" s="451">
        <v>31766.82</v>
      </c>
      <c r="P187" s="451">
        <v>0</v>
      </c>
      <c r="Q187" s="451">
        <v>0</v>
      </c>
      <c r="R187" s="451">
        <v>0</v>
      </c>
      <c r="S187" s="451">
        <v>31766.82</v>
      </c>
      <c r="T187" s="451">
        <v>1602071.1630371276</v>
      </c>
      <c r="U187" s="451">
        <v>0</v>
      </c>
      <c r="V187" s="451">
        <v>1676472.4530371276</v>
      </c>
      <c r="W187" s="451">
        <v>1549029.67</v>
      </c>
      <c r="X187" s="451">
        <v>0</v>
      </c>
      <c r="Y187" s="451"/>
      <c r="Z187" s="451"/>
      <c r="AA187" s="456"/>
      <c r="AB187" s="451">
        <v>1549029.67</v>
      </c>
      <c r="AC187" s="451">
        <v>127442.78303712769</v>
      </c>
      <c r="AD187" s="451">
        <v>0</v>
      </c>
      <c r="AE187" s="457">
        <v>127442.78303712769</v>
      </c>
      <c r="AF187" s="451">
        <v>53041.493037127701</v>
      </c>
      <c r="AG187" s="451">
        <v>74401.289999999994</v>
      </c>
      <c r="AH187" s="451">
        <v>0</v>
      </c>
      <c r="AI187" s="451">
        <v>0</v>
      </c>
      <c r="AJ187" s="451">
        <v>0</v>
      </c>
      <c r="AK187" s="462"/>
      <c r="AL187" s="453" t="s">
        <v>108</v>
      </c>
      <c r="AM187" s="451">
        <v>127442.78303712769</v>
      </c>
      <c r="AN187" s="453" t="s">
        <v>108</v>
      </c>
      <c r="AO187" s="453">
        <v>110</v>
      </c>
      <c r="AP187" s="453">
        <v>116</v>
      </c>
      <c r="AQ187" s="458">
        <v>7.9548765359166662E-2</v>
      </c>
      <c r="AS187" s="459" t="s">
        <v>104</v>
      </c>
      <c r="AT187" s="453" t="s">
        <v>109</v>
      </c>
      <c r="AU187" s="464" t="s">
        <v>459</v>
      </c>
      <c r="AV187" s="460" t="s">
        <v>36</v>
      </c>
      <c r="AW187" s="453" t="s">
        <v>1431</v>
      </c>
      <c r="BA187" s="464" t="str">
        <f>_xlfn.XLOOKUP(B187,'School List from APT'!A:A,'School List from APT'!C:C,"",FALSE)</f>
        <v>Walmley Infant School</v>
      </c>
    </row>
    <row r="188" spans="1:53" x14ac:dyDescent="0.25">
      <c r="A188" s="453" t="s">
        <v>461</v>
      </c>
      <c r="B188" s="453">
        <v>5202</v>
      </c>
      <c r="C188" s="453">
        <v>5202</v>
      </c>
      <c r="D188" s="453" t="s">
        <v>462</v>
      </c>
      <c r="F188" s="454" t="s">
        <v>162</v>
      </c>
      <c r="G188" s="454" t="s">
        <v>107</v>
      </c>
      <c r="H188" s="451">
        <v>253751.45099419705</v>
      </c>
      <c r="I188" s="451">
        <v>0</v>
      </c>
      <c r="J188" s="455">
        <v>253751.45099419705</v>
      </c>
      <c r="K188" s="451">
        <v>1502935.06</v>
      </c>
      <c r="L188" s="451">
        <v>85449.375</v>
      </c>
      <c r="M188" s="451">
        <v>0</v>
      </c>
      <c r="N188" s="451">
        <v>1588384.4350000001</v>
      </c>
      <c r="O188" s="451">
        <v>62883.445416666662</v>
      </c>
      <c r="P188" s="451">
        <v>0</v>
      </c>
      <c r="Q188" s="451">
        <v>0</v>
      </c>
      <c r="R188" s="451">
        <v>0</v>
      </c>
      <c r="S188" s="451">
        <v>62883.445416666662</v>
      </c>
      <c r="T188" s="451">
        <v>1651267.8804166666</v>
      </c>
      <c r="U188" s="451">
        <v>0</v>
      </c>
      <c r="V188" s="451">
        <v>1905019.3314108637</v>
      </c>
      <c r="W188" s="451">
        <v>1656527.36</v>
      </c>
      <c r="X188" s="451">
        <v>0</v>
      </c>
      <c r="Y188" s="451"/>
      <c r="Z188" s="451"/>
      <c r="AA188" s="456"/>
      <c r="AB188" s="451">
        <v>1656527.36</v>
      </c>
      <c r="AC188" s="451">
        <v>248491.97141086357</v>
      </c>
      <c r="AD188" s="451">
        <v>0</v>
      </c>
      <c r="AE188" s="457">
        <v>248491.97141086357</v>
      </c>
      <c r="AF188" s="451">
        <v>-5259.4795833334792</v>
      </c>
      <c r="AG188" s="451">
        <v>253751.45099419705</v>
      </c>
      <c r="AH188" s="451">
        <v>0</v>
      </c>
      <c r="AI188" s="451">
        <v>0</v>
      </c>
      <c r="AJ188" s="451">
        <v>0</v>
      </c>
      <c r="AK188" s="462"/>
      <c r="AL188" s="453" t="s">
        <v>108</v>
      </c>
      <c r="AM188" s="451">
        <v>248491.97141086357</v>
      </c>
      <c r="AN188" s="453" t="s">
        <v>108</v>
      </c>
      <c r="AO188" s="453">
        <v>77</v>
      </c>
      <c r="AP188" s="453">
        <v>64</v>
      </c>
      <c r="AQ188" s="458">
        <v>0.15048555982822198</v>
      </c>
      <c r="AS188" s="459" t="s">
        <v>104</v>
      </c>
      <c r="AT188" s="453" t="s">
        <v>109</v>
      </c>
      <c r="AU188" s="464" t="s">
        <v>461</v>
      </c>
      <c r="AV188" s="460" t="s">
        <v>36</v>
      </c>
      <c r="AW188" s="453" t="s">
        <v>1431</v>
      </c>
      <c r="BA188" s="464" t="str">
        <f>_xlfn.XLOOKUP(B188,'School List from APT'!A:A,'School List from APT'!C:C,"",FALSE)</f>
        <v>Walmley Junior School</v>
      </c>
    </row>
    <row r="189" spans="1:53" x14ac:dyDescent="0.25">
      <c r="A189" s="453" t="s">
        <v>463</v>
      </c>
      <c r="B189" s="453">
        <v>2108</v>
      </c>
      <c r="C189" s="453">
        <v>2108</v>
      </c>
      <c r="D189" s="453" t="s">
        <v>464</v>
      </c>
      <c r="E189" s="453" t="s">
        <v>83</v>
      </c>
      <c r="F189" s="454" t="s">
        <v>162</v>
      </c>
      <c r="G189" s="454" t="s">
        <v>36</v>
      </c>
      <c r="H189" s="451">
        <v>870588.76616099046</v>
      </c>
      <c r="I189" s="451">
        <v>0</v>
      </c>
      <c r="J189" s="455">
        <v>870588.76616099046</v>
      </c>
      <c r="K189" s="451">
        <v>4139610.505504624</v>
      </c>
      <c r="L189" s="451">
        <v>666046.375</v>
      </c>
      <c r="M189" s="451">
        <v>-45653.205223880621</v>
      </c>
      <c r="N189" s="451">
        <v>4760003.6752807433</v>
      </c>
      <c r="O189" s="451">
        <v>109364.78833333333</v>
      </c>
      <c r="P189" s="451">
        <v>0</v>
      </c>
      <c r="Q189" s="451">
        <v>0</v>
      </c>
      <c r="R189" s="451">
        <v>0</v>
      </c>
      <c r="S189" s="451">
        <v>109364.78833333333</v>
      </c>
      <c r="T189" s="451">
        <v>4869368.4636140764</v>
      </c>
      <c r="U189" s="451">
        <v>0</v>
      </c>
      <c r="V189" s="451">
        <v>5739957.2297750665</v>
      </c>
      <c r="W189" s="451">
        <v>4716609.92</v>
      </c>
      <c r="X189" s="451">
        <v>-9321</v>
      </c>
      <c r="Y189" s="451"/>
      <c r="Z189" s="451"/>
      <c r="AA189" s="456"/>
      <c r="AB189" s="451">
        <v>4707288.92</v>
      </c>
      <c r="AC189" s="451">
        <v>1032668.3097750666</v>
      </c>
      <c r="AD189" s="451">
        <v>1218.8242726253866</v>
      </c>
      <c r="AE189" s="457">
        <v>1033887.1340476919</v>
      </c>
      <c r="AF189" s="451">
        <v>163298.36788670148</v>
      </c>
      <c r="AG189" s="451">
        <v>870588.76616099046</v>
      </c>
      <c r="AH189" s="451">
        <v>870588.76616099046</v>
      </c>
      <c r="AI189" s="451">
        <v>238000.18376403718</v>
      </c>
      <c r="AJ189" s="451">
        <v>1218.8242726253866</v>
      </c>
      <c r="AK189" s="462"/>
      <c r="AL189" s="453" t="s">
        <v>108</v>
      </c>
      <c r="AM189" s="451">
        <v>1033887.1340476919</v>
      </c>
      <c r="AN189" s="453" t="s">
        <v>108</v>
      </c>
      <c r="AO189" s="453">
        <v>4</v>
      </c>
      <c r="AP189" s="453">
        <v>31</v>
      </c>
      <c r="AQ189" s="458">
        <v>0.21232468681992783</v>
      </c>
      <c r="AS189" s="459" t="s">
        <v>104</v>
      </c>
      <c r="AT189" s="453" t="s">
        <v>104</v>
      </c>
      <c r="AU189" s="464" t="s">
        <v>463</v>
      </c>
      <c r="AV189" s="460" t="s">
        <v>36</v>
      </c>
      <c r="AW189" s="453" t="s">
        <v>1430</v>
      </c>
      <c r="BA189" s="464" t="str">
        <f>_xlfn.XLOOKUP(B189,'School List from APT'!A:A,'School List from APT'!C:C,"",FALSE)</f>
        <v>Ward End Primary School</v>
      </c>
    </row>
    <row r="190" spans="1:53" x14ac:dyDescent="0.25">
      <c r="A190" s="453" t="s">
        <v>465</v>
      </c>
      <c r="B190" s="453">
        <v>2306</v>
      </c>
      <c r="C190" s="453">
        <v>2306</v>
      </c>
      <c r="D190" s="453" t="s">
        <v>466</v>
      </c>
      <c r="F190" s="454" t="s">
        <v>162</v>
      </c>
      <c r="G190" s="454" t="s">
        <v>36</v>
      </c>
      <c r="H190" s="451">
        <v>255186.25132992855</v>
      </c>
      <c r="I190" s="451">
        <v>0</v>
      </c>
      <c r="J190" s="455">
        <v>255186.25132992855</v>
      </c>
      <c r="K190" s="451">
        <v>984472.19629964116</v>
      </c>
      <c r="L190" s="451">
        <v>162259.875</v>
      </c>
      <c r="M190" s="451">
        <v>0</v>
      </c>
      <c r="N190" s="451">
        <v>1146732.0712996412</v>
      </c>
      <c r="O190" s="451">
        <v>35245.699166666673</v>
      </c>
      <c r="P190" s="451">
        <v>0</v>
      </c>
      <c r="Q190" s="451">
        <v>0</v>
      </c>
      <c r="R190" s="451">
        <v>0</v>
      </c>
      <c r="S190" s="451">
        <v>35245.699166666673</v>
      </c>
      <c r="T190" s="451">
        <v>1181977.7704663079</v>
      </c>
      <c r="U190" s="451">
        <v>0</v>
      </c>
      <c r="V190" s="451">
        <v>1437164.0217962365</v>
      </c>
      <c r="W190" s="451">
        <v>1152385.6000000001</v>
      </c>
      <c r="X190" s="451">
        <v>-3945</v>
      </c>
      <c r="Y190" s="451"/>
      <c r="Z190" s="451"/>
      <c r="AA190" s="456"/>
      <c r="AB190" s="451">
        <v>1148440.6000000001</v>
      </c>
      <c r="AC190" s="451">
        <v>288723.42179623642</v>
      </c>
      <c r="AD190" s="451">
        <v>357.26075186189996</v>
      </c>
      <c r="AE190" s="457">
        <v>289080.68254809832</v>
      </c>
      <c r="AF190" s="451">
        <v>33894.431218169775</v>
      </c>
      <c r="AG190" s="451">
        <v>255186.25132992855</v>
      </c>
      <c r="AH190" s="451">
        <v>255186.25132992855</v>
      </c>
      <c r="AI190" s="451">
        <v>57336.603564982062</v>
      </c>
      <c r="AJ190" s="451">
        <v>357.26075186189996</v>
      </c>
      <c r="AK190" s="462"/>
      <c r="AL190" s="453" t="s">
        <v>108</v>
      </c>
      <c r="AM190" s="451">
        <v>289080.68254809832</v>
      </c>
      <c r="AN190" s="453" t="s">
        <v>108</v>
      </c>
      <c r="AO190" s="453">
        <v>63</v>
      </c>
      <c r="AP190" s="453">
        <v>17</v>
      </c>
      <c r="AQ190" s="458">
        <v>0.2445737049978966</v>
      </c>
      <c r="AS190" s="459" t="s">
        <v>104</v>
      </c>
      <c r="AT190" s="453" t="s">
        <v>104</v>
      </c>
      <c r="AU190" s="464" t="s">
        <v>465</v>
      </c>
      <c r="AV190" s="460" t="s">
        <v>36</v>
      </c>
      <c r="AW190" s="453" t="s">
        <v>1430</v>
      </c>
      <c r="BA190" s="464" t="str">
        <f>_xlfn.XLOOKUP(B190,'School List from APT'!A:A,'School List from APT'!C:C,"",FALSE)</f>
        <v>Water Mill Primary School</v>
      </c>
    </row>
    <row r="191" spans="1:53" x14ac:dyDescent="0.25">
      <c r="A191" s="453" t="s">
        <v>467</v>
      </c>
      <c r="B191" s="453">
        <v>2482</v>
      </c>
      <c r="C191" s="453">
        <v>2482</v>
      </c>
      <c r="D191" s="453" t="s">
        <v>468</v>
      </c>
      <c r="E191" s="453" t="s">
        <v>83</v>
      </c>
      <c r="F191" s="454" t="s">
        <v>162</v>
      </c>
      <c r="G191" s="454" t="s">
        <v>36</v>
      </c>
      <c r="H191" s="451">
        <v>269351.35981099721</v>
      </c>
      <c r="I191" s="451">
        <v>0</v>
      </c>
      <c r="J191" s="455">
        <v>269351.35981099721</v>
      </c>
      <c r="K191" s="451">
        <v>2178939.3530980125</v>
      </c>
      <c r="L191" s="451">
        <v>352294.125</v>
      </c>
      <c r="M191" s="451">
        <v>-32157.278571428556</v>
      </c>
      <c r="N191" s="451">
        <v>2499076.1995265838</v>
      </c>
      <c r="O191" s="451">
        <v>10533.21642091156</v>
      </c>
      <c r="P191" s="451">
        <v>0</v>
      </c>
      <c r="Q191" s="451">
        <v>0</v>
      </c>
      <c r="R191" s="451">
        <v>0</v>
      </c>
      <c r="S191" s="451">
        <v>10533.21642091156</v>
      </c>
      <c r="T191" s="451">
        <v>2509609.4159474955</v>
      </c>
      <c r="U191" s="451">
        <v>0</v>
      </c>
      <c r="V191" s="451">
        <v>2778960.7757584928</v>
      </c>
      <c r="W191" s="451">
        <v>2662734.9900000002</v>
      </c>
      <c r="X191" s="451">
        <v>0</v>
      </c>
      <c r="Y191" s="451"/>
      <c r="Z191" s="451"/>
      <c r="AA191" s="456"/>
      <c r="AB191" s="451">
        <v>2662734.9900000002</v>
      </c>
      <c r="AC191" s="451">
        <v>116225.78575849254</v>
      </c>
      <c r="AD191" s="451">
        <v>162.71610006188956</v>
      </c>
      <c r="AE191" s="457">
        <v>116388.50185855443</v>
      </c>
      <c r="AF191" s="451">
        <v>-152962.85795244278</v>
      </c>
      <c r="AG191" s="451">
        <v>269351.35981099721</v>
      </c>
      <c r="AH191" s="451">
        <v>116225.78575849254</v>
      </c>
      <c r="AI191" s="451">
        <v>124953.8099763292</v>
      </c>
      <c r="AJ191" s="451">
        <v>162.71610006188956</v>
      </c>
      <c r="AK191" s="462"/>
      <c r="AL191" s="453" t="s">
        <v>108</v>
      </c>
      <c r="AM191" s="451">
        <v>116388.50185855443</v>
      </c>
      <c r="AN191" s="453" t="s">
        <v>108</v>
      </c>
      <c r="AO191" s="453">
        <v>117</v>
      </c>
      <c r="AP191" s="453">
        <v>134</v>
      </c>
      <c r="AQ191" s="458">
        <v>4.6377137860160719E-2</v>
      </c>
      <c r="AS191" s="459" t="s">
        <v>104</v>
      </c>
      <c r="AT191" s="453" t="s">
        <v>104</v>
      </c>
      <c r="AU191" s="464" t="s">
        <v>467</v>
      </c>
      <c r="AV191" s="460" t="s">
        <v>36</v>
      </c>
      <c r="AW191" s="453" t="s">
        <v>1430</v>
      </c>
      <c r="BA191" s="464" t="str">
        <f>_xlfn.XLOOKUP(B191,'School List from APT'!A:A,'School List from APT'!C:C,"",FALSE)</f>
        <v>Wattville Primary School</v>
      </c>
    </row>
    <row r="192" spans="1:53" x14ac:dyDescent="0.25">
      <c r="A192" s="453" t="s">
        <v>469</v>
      </c>
      <c r="B192" s="453">
        <v>2308</v>
      </c>
      <c r="C192" s="453">
        <v>2308</v>
      </c>
      <c r="D192" s="453" t="s">
        <v>470</v>
      </c>
      <c r="E192" s="453" t="s">
        <v>83</v>
      </c>
      <c r="F192" s="454" t="s">
        <v>162</v>
      </c>
      <c r="G192" s="454" t="s">
        <v>107</v>
      </c>
      <c r="H192" s="451">
        <v>412368.07486449648</v>
      </c>
      <c r="I192" s="451">
        <v>-19999.590000000026</v>
      </c>
      <c r="J192" s="455">
        <v>392368.48486449645</v>
      </c>
      <c r="K192" s="451">
        <v>2080488.5260412893</v>
      </c>
      <c r="L192" s="451">
        <v>371154.3125</v>
      </c>
      <c r="M192" s="451">
        <v>38727.355263157893</v>
      </c>
      <c r="N192" s="451">
        <v>2490370.1938044471</v>
      </c>
      <c r="O192" s="451">
        <v>94212.708563666296</v>
      </c>
      <c r="P192" s="451">
        <v>0</v>
      </c>
      <c r="Q192" s="451">
        <v>0</v>
      </c>
      <c r="R192" s="451">
        <v>0</v>
      </c>
      <c r="S192" s="451">
        <v>94212.708563666296</v>
      </c>
      <c r="T192" s="451">
        <v>2584582.9023681134</v>
      </c>
      <c r="U192" s="451">
        <v>0</v>
      </c>
      <c r="V192" s="451">
        <v>2976951.38723261</v>
      </c>
      <c r="W192" s="451">
        <v>2526635.39</v>
      </c>
      <c r="X192" s="451">
        <v>0</v>
      </c>
      <c r="Y192" s="451"/>
      <c r="Z192" s="451"/>
      <c r="AA192" s="456"/>
      <c r="AB192" s="451">
        <v>2526635.39</v>
      </c>
      <c r="AC192" s="451">
        <v>450315.99723260989</v>
      </c>
      <c r="AD192" s="451">
        <v>0</v>
      </c>
      <c r="AE192" s="457">
        <v>450315.99723260989</v>
      </c>
      <c r="AF192" s="451">
        <v>57947.512368113443</v>
      </c>
      <c r="AG192" s="451">
        <v>392368.48486449645</v>
      </c>
      <c r="AH192" s="451">
        <v>0</v>
      </c>
      <c r="AI192" s="451">
        <v>0</v>
      </c>
      <c r="AJ192" s="451">
        <v>0</v>
      </c>
      <c r="AK192" s="462"/>
      <c r="AL192" s="453" t="s">
        <v>108</v>
      </c>
      <c r="AM192" s="451">
        <v>450315.99723260989</v>
      </c>
      <c r="AN192" s="453" t="s">
        <v>108</v>
      </c>
      <c r="AO192" s="453">
        <v>32</v>
      </c>
      <c r="AP192" s="453">
        <v>48</v>
      </c>
      <c r="AQ192" s="458">
        <v>0.1742315933530357</v>
      </c>
      <c r="AS192" s="459" t="s">
        <v>104</v>
      </c>
      <c r="AT192" s="453" t="s">
        <v>109</v>
      </c>
      <c r="AU192" s="464" t="s">
        <v>469</v>
      </c>
      <c r="AV192" s="460" t="s">
        <v>36</v>
      </c>
      <c r="AW192" s="453" t="s">
        <v>1431</v>
      </c>
      <c r="BA192" s="464" t="str">
        <f>_xlfn.XLOOKUP(B192,'School List from APT'!A:A,'School List from APT'!C:C,"",FALSE)</f>
        <v>Welford Primary School</v>
      </c>
    </row>
    <row r="193" spans="1:53" x14ac:dyDescent="0.25">
      <c r="A193" s="453" t="s">
        <v>471</v>
      </c>
      <c r="B193" s="453">
        <v>2245</v>
      </c>
      <c r="C193" s="453">
        <v>2245</v>
      </c>
      <c r="D193" s="453" t="s">
        <v>472</v>
      </c>
      <c r="E193" s="453" t="s">
        <v>83</v>
      </c>
      <c r="F193" s="454" t="s">
        <v>162</v>
      </c>
      <c r="G193" s="454" t="s">
        <v>36</v>
      </c>
      <c r="H193" s="451">
        <v>249765.47267322737</v>
      </c>
      <c r="I193" s="451">
        <v>0</v>
      </c>
      <c r="J193" s="455">
        <v>249765.47267322737</v>
      </c>
      <c r="K193" s="451">
        <v>1458370.4243036765</v>
      </c>
      <c r="L193" s="451">
        <v>266916.3125</v>
      </c>
      <c r="M193" s="451">
        <v>-23868.456521739135</v>
      </c>
      <c r="N193" s="451">
        <v>1701418.2802819372</v>
      </c>
      <c r="O193" s="451">
        <v>92808.946678320412</v>
      </c>
      <c r="P193" s="451">
        <v>0</v>
      </c>
      <c r="Q193" s="451">
        <v>0</v>
      </c>
      <c r="R193" s="451">
        <v>0</v>
      </c>
      <c r="S193" s="451">
        <v>92808.946678320412</v>
      </c>
      <c r="T193" s="451">
        <v>1794227.2269602576</v>
      </c>
      <c r="U193" s="451">
        <v>0</v>
      </c>
      <c r="V193" s="451">
        <v>2043992.6996334849</v>
      </c>
      <c r="W193" s="451">
        <v>1851030.24</v>
      </c>
      <c r="X193" s="451">
        <v>380</v>
      </c>
      <c r="Y193" s="451"/>
      <c r="Z193" s="451"/>
      <c r="AA193" s="456"/>
      <c r="AB193" s="451">
        <v>1851410.24</v>
      </c>
      <c r="AC193" s="451">
        <v>192582.45963348495</v>
      </c>
      <c r="AD193" s="451">
        <v>269.61544348687892</v>
      </c>
      <c r="AE193" s="457">
        <v>192852.07507697181</v>
      </c>
      <c r="AF193" s="451">
        <v>-56913.397596255556</v>
      </c>
      <c r="AG193" s="451">
        <v>249765.47267322737</v>
      </c>
      <c r="AH193" s="451">
        <v>192582.45963348495</v>
      </c>
      <c r="AI193" s="451">
        <v>85070.914014096867</v>
      </c>
      <c r="AJ193" s="451">
        <v>269.61544348687892</v>
      </c>
      <c r="AK193" s="462"/>
      <c r="AL193" s="453" t="s">
        <v>108</v>
      </c>
      <c r="AM193" s="451">
        <v>192852.07507697181</v>
      </c>
      <c r="AN193" s="453" t="s">
        <v>108</v>
      </c>
      <c r="AO193" s="453">
        <v>96</v>
      </c>
      <c r="AP193" s="453">
        <v>94</v>
      </c>
      <c r="AQ193" s="458">
        <v>0.10748475565366254</v>
      </c>
      <c r="AS193" s="459" t="s">
        <v>104</v>
      </c>
      <c r="AT193" s="453" t="s">
        <v>104</v>
      </c>
      <c r="AU193" s="464" t="s">
        <v>471</v>
      </c>
      <c r="AV193" s="460" t="s">
        <v>36</v>
      </c>
      <c r="AW193" s="453" t="s">
        <v>1430</v>
      </c>
      <c r="BA193" s="464" t="str">
        <f>_xlfn.XLOOKUP(B193,'School List from APT'!A:A,'School List from APT'!C:C,"",FALSE)</f>
        <v>Welsh House Farm Community School and Special Needs Resources Base</v>
      </c>
    </row>
    <row r="194" spans="1:53" x14ac:dyDescent="0.25">
      <c r="A194" s="453" t="s">
        <v>473</v>
      </c>
      <c r="B194" s="453">
        <v>2019</v>
      </c>
      <c r="C194" s="453">
        <v>2019</v>
      </c>
      <c r="D194" s="453" t="s">
        <v>474</v>
      </c>
      <c r="F194" s="454" t="s">
        <v>162</v>
      </c>
      <c r="G194" s="454" t="s">
        <v>36</v>
      </c>
      <c r="H194" s="451">
        <v>-81020.757488584146</v>
      </c>
      <c r="I194" s="451">
        <v>0</v>
      </c>
      <c r="J194" s="455">
        <v>-81020.757488584146</v>
      </c>
      <c r="K194" s="451">
        <v>2013301.7445373901</v>
      </c>
      <c r="L194" s="451">
        <v>388299.875</v>
      </c>
      <c r="M194" s="451">
        <v>0</v>
      </c>
      <c r="N194" s="451">
        <v>2401601.6195373898</v>
      </c>
      <c r="O194" s="451">
        <v>38227.94491666666</v>
      </c>
      <c r="P194" s="451">
        <v>0</v>
      </c>
      <c r="Q194" s="451">
        <v>0</v>
      </c>
      <c r="R194" s="451">
        <v>0</v>
      </c>
      <c r="S194" s="451">
        <v>38227.94491666666</v>
      </c>
      <c r="T194" s="451">
        <v>2439829.5644540563</v>
      </c>
      <c r="U194" s="451">
        <v>0</v>
      </c>
      <c r="V194" s="451">
        <v>2358808.8069654722</v>
      </c>
      <c r="W194" s="451">
        <v>2406172.61</v>
      </c>
      <c r="X194" s="451">
        <v>-9190</v>
      </c>
      <c r="Y194" s="451"/>
      <c r="Z194" s="451"/>
      <c r="AA194" s="456"/>
      <c r="AB194" s="451">
        <v>2396982.61</v>
      </c>
      <c r="AC194" s="451">
        <v>-38173.803034527693</v>
      </c>
      <c r="AD194" s="451">
        <v>0</v>
      </c>
      <c r="AE194" s="457">
        <v>-38173.803034527693</v>
      </c>
      <c r="AF194" s="451">
        <v>42846.954454056453</v>
      </c>
      <c r="AG194" s="451">
        <v>-81020.757488584146</v>
      </c>
      <c r="AH194" s="451">
        <v>0</v>
      </c>
      <c r="AI194" s="451">
        <v>0</v>
      </c>
      <c r="AJ194" s="451">
        <v>0</v>
      </c>
      <c r="AK194" s="462"/>
      <c r="AL194" s="453" t="s">
        <v>103</v>
      </c>
      <c r="AM194" s="451">
        <v>-38173.803034527693</v>
      </c>
      <c r="AN194" s="453" t="s">
        <v>103</v>
      </c>
      <c r="AO194" s="453">
        <v>155</v>
      </c>
      <c r="AP194" s="453">
        <v>154</v>
      </c>
      <c r="AQ194" s="458">
        <v>-1.5646094133247204E-2</v>
      </c>
      <c r="AS194" s="459" t="s">
        <v>104</v>
      </c>
      <c r="AT194" s="453" t="s">
        <v>104</v>
      </c>
      <c r="AU194" s="464" t="s">
        <v>473</v>
      </c>
      <c r="AV194" s="460" t="s">
        <v>36</v>
      </c>
      <c r="AW194" s="453" t="s">
        <v>1430</v>
      </c>
      <c r="BA194" s="464" t="str">
        <f>_xlfn.XLOOKUP(B194,'School List from APT'!A:A,'School List from APT'!C:C,"",FALSE)</f>
        <v>West Heath Primary School</v>
      </c>
    </row>
    <row r="195" spans="1:53" x14ac:dyDescent="0.25">
      <c r="A195" s="453" t="s">
        <v>475</v>
      </c>
      <c r="B195" s="453">
        <v>2011</v>
      </c>
      <c r="C195" s="453">
        <v>2011</v>
      </c>
      <c r="D195" s="453" t="s">
        <v>476</v>
      </c>
      <c r="E195" s="453" t="s">
        <v>83</v>
      </c>
      <c r="F195" s="454" t="s">
        <v>162</v>
      </c>
      <c r="G195" s="454" t="s">
        <v>107</v>
      </c>
      <c r="H195" s="451">
        <v>533257.14139594836</v>
      </c>
      <c r="I195" s="451">
        <v>-1.3959483476355672E-3</v>
      </c>
      <c r="J195" s="455">
        <v>533257.14</v>
      </c>
      <c r="K195" s="451">
        <v>2857858.0597022646</v>
      </c>
      <c r="L195" s="451">
        <v>409664.27500000002</v>
      </c>
      <c r="M195" s="451">
        <v>-2498.1923076923122</v>
      </c>
      <c r="N195" s="451">
        <v>3265024.142394572</v>
      </c>
      <c r="O195" s="451">
        <v>66426.111416666652</v>
      </c>
      <c r="P195" s="451">
        <v>0</v>
      </c>
      <c r="Q195" s="451">
        <v>0</v>
      </c>
      <c r="R195" s="451">
        <v>0</v>
      </c>
      <c r="S195" s="451">
        <v>66426.111416666652</v>
      </c>
      <c r="T195" s="451">
        <v>3331450.2538112388</v>
      </c>
      <c r="U195" s="451">
        <v>0</v>
      </c>
      <c r="V195" s="451">
        <v>3864707.3938112389</v>
      </c>
      <c r="W195" s="451">
        <v>3428471.05</v>
      </c>
      <c r="X195" s="451">
        <v>0</v>
      </c>
      <c r="Y195" s="451"/>
      <c r="Z195" s="451"/>
      <c r="AA195" s="456"/>
      <c r="AB195" s="451">
        <v>3428471.05</v>
      </c>
      <c r="AC195" s="451">
        <v>436236.34381123912</v>
      </c>
      <c r="AD195" s="451">
        <v>0</v>
      </c>
      <c r="AE195" s="457">
        <v>436236.34381123912</v>
      </c>
      <c r="AF195" s="451">
        <v>-97020.796188760898</v>
      </c>
      <c r="AG195" s="451">
        <v>533257.14</v>
      </c>
      <c r="AH195" s="451">
        <v>0</v>
      </c>
      <c r="AI195" s="451">
        <v>0</v>
      </c>
      <c r="AJ195" s="451">
        <v>0</v>
      </c>
      <c r="AK195" s="462"/>
      <c r="AL195" s="453" t="s">
        <v>108</v>
      </c>
      <c r="AM195" s="451">
        <v>436236.34381123912</v>
      </c>
      <c r="AN195" s="453" t="s">
        <v>108</v>
      </c>
      <c r="AO195" s="453">
        <v>35</v>
      </c>
      <c r="AP195" s="453">
        <v>75</v>
      </c>
      <c r="AQ195" s="458">
        <v>0.13094487702830829</v>
      </c>
      <c r="AS195" s="459" t="s">
        <v>104</v>
      </c>
      <c r="AT195" s="453" t="s">
        <v>109</v>
      </c>
      <c r="AU195" s="464" t="s">
        <v>475</v>
      </c>
      <c r="AV195" s="460" t="s">
        <v>36</v>
      </c>
      <c r="AW195" s="453" t="s">
        <v>1431</v>
      </c>
      <c r="BA195" s="464" t="str">
        <f>_xlfn.XLOOKUP(B195,'School List from APT'!A:A,'School List from APT'!C:C,"",FALSE)</f>
        <v>Wheelers Lane Primary School</v>
      </c>
    </row>
    <row r="196" spans="1:53" x14ac:dyDescent="0.25">
      <c r="A196" s="453" t="s">
        <v>477</v>
      </c>
      <c r="B196" s="453">
        <v>2478</v>
      </c>
      <c r="C196" s="453">
        <v>2478</v>
      </c>
      <c r="D196" s="453" t="s">
        <v>478</v>
      </c>
      <c r="E196" s="453" t="s">
        <v>83</v>
      </c>
      <c r="F196" s="454" t="s">
        <v>162</v>
      </c>
      <c r="G196" s="454" t="s">
        <v>36</v>
      </c>
      <c r="H196" s="451">
        <v>150267.92360651548</v>
      </c>
      <c r="I196" s="451">
        <v>0</v>
      </c>
      <c r="J196" s="455">
        <v>150267.92360651548</v>
      </c>
      <c r="K196" s="451">
        <v>1910023.4871428572</v>
      </c>
      <c r="L196" s="451">
        <v>154915.5</v>
      </c>
      <c r="M196" s="451">
        <v>-8240.5982142857101</v>
      </c>
      <c r="N196" s="451">
        <v>2056698.3889285715</v>
      </c>
      <c r="O196" s="451">
        <v>23913.561416666664</v>
      </c>
      <c r="P196" s="451">
        <v>0</v>
      </c>
      <c r="Q196" s="451">
        <v>0</v>
      </c>
      <c r="R196" s="451">
        <v>0</v>
      </c>
      <c r="S196" s="451">
        <v>23913.561416666664</v>
      </c>
      <c r="T196" s="451">
        <v>2080611.9503452382</v>
      </c>
      <c r="U196" s="451">
        <v>0</v>
      </c>
      <c r="V196" s="451">
        <v>2230879.8739517536</v>
      </c>
      <c r="W196" s="451">
        <v>2018537.42</v>
      </c>
      <c r="X196" s="451">
        <v>0</v>
      </c>
      <c r="Y196" s="451"/>
      <c r="Z196" s="451"/>
      <c r="AA196" s="456"/>
      <c r="AB196" s="451">
        <v>2018537.42</v>
      </c>
      <c r="AC196" s="451">
        <v>212342.45395175368</v>
      </c>
      <c r="AD196" s="451">
        <v>210.37509304912166</v>
      </c>
      <c r="AE196" s="457">
        <v>212552.82904480278</v>
      </c>
      <c r="AF196" s="451">
        <v>62284.9054382873</v>
      </c>
      <c r="AG196" s="451">
        <v>150267.92360651548</v>
      </c>
      <c r="AH196" s="451">
        <v>150267.92360651548</v>
      </c>
      <c r="AI196" s="451">
        <v>102834.91944642858</v>
      </c>
      <c r="AJ196" s="451">
        <v>210.37509304912166</v>
      </c>
      <c r="AK196" s="462"/>
      <c r="AL196" s="453" t="s">
        <v>108</v>
      </c>
      <c r="AM196" s="451">
        <v>212552.82904480278</v>
      </c>
      <c r="AN196" s="453" t="s">
        <v>108</v>
      </c>
      <c r="AO196" s="453">
        <v>90</v>
      </c>
      <c r="AP196" s="453">
        <v>98</v>
      </c>
      <c r="AQ196" s="458">
        <v>0.10215880429290702</v>
      </c>
      <c r="AS196" s="459" t="s">
        <v>104</v>
      </c>
      <c r="AT196" s="453" t="s">
        <v>104</v>
      </c>
      <c r="AU196" s="464" t="s">
        <v>477</v>
      </c>
      <c r="AV196" s="460" t="s">
        <v>36</v>
      </c>
      <c r="AW196" s="453" t="s">
        <v>1430</v>
      </c>
      <c r="BA196" s="464" t="str">
        <f>_xlfn.XLOOKUP(B196,'School List from APT'!A:A,'School List from APT'!C:C,"",FALSE)</f>
        <v>Whitehouse Common Primary School</v>
      </c>
    </row>
    <row r="197" spans="1:53" x14ac:dyDescent="0.25">
      <c r="A197" s="453" t="s">
        <v>479</v>
      </c>
      <c r="B197" s="453">
        <v>2293</v>
      </c>
      <c r="C197" s="453">
        <v>2293</v>
      </c>
      <c r="D197" s="453" t="s">
        <v>480</v>
      </c>
      <c r="E197" s="453"/>
      <c r="F197" s="454" t="s">
        <v>162</v>
      </c>
      <c r="G197" s="454" t="s">
        <v>107</v>
      </c>
      <c r="H197" s="451">
        <v>2130470.4534123274</v>
      </c>
      <c r="I197" s="451">
        <v>-3.4123272635042667E-3</v>
      </c>
      <c r="J197" s="455">
        <v>2130470.4500000002</v>
      </c>
      <c r="K197" s="451">
        <v>3091684.5667955703</v>
      </c>
      <c r="L197" s="451">
        <v>531769.875</v>
      </c>
      <c r="M197" s="451">
        <v>-40906.537500000006</v>
      </c>
      <c r="N197" s="451">
        <v>3582547.9042955702</v>
      </c>
      <c r="O197" s="451">
        <v>10620.572250000001</v>
      </c>
      <c r="P197" s="451">
        <v>0</v>
      </c>
      <c r="Q197" s="451">
        <v>0</v>
      </c>
      <c r="R197" s="451">
        <v>0</v>
      </c>
      <c r="S197" s="451">
        <v>10620.572250000001</v>
      </c>
      <c r="T197" s="451">
        <v>3593168.4765455704</v>
      </c>
      <c r="U197" s="451">
        <v>0</v>
      </c>
      <c r="V197" s="451">
        <v>5723638.9265455706</v>
      </c>
      <c r="W197" s="451">
        <v>3618156.25</v>
      </c>
      <c r="X197" s="451">
        <v>0</v>
      </c>
      <c r="Y197" s="451"/>
      <c r="Z197" s="451"/>
      <c r="AA197" s="451">
        <v>0</v>
      </c>
      <c r="AB197" s="451">
        <v>3618156.25</v>
      </c>
      <c r="AC197" s="451">
        <v>2105482.6765455706</v>
      </c>
      <c r="AD197" s="451">
        <v>0</v>
      </c>
      <c r="AE197" s="457">
        <v>2105482.6765455706</v>
      </c>
      <c r="AF197" s="451">
        <v>-24987.773454429582</v>
      </c>
      <c r="AG197" s="451">
        <v>2130470.4500000002</v>
      </c>
      <c r="AH197" s="451">
        <v>0</v>
      </c>
      <c r="AI197" s="451">
        <v>0</v>
      </c>
      <c r="AJ197" s="451">
        <v>0</v>
      </c>
      <c r="AK197" s="462"/>
      <c r="AL197" s="453" t="s">
        <v>108</v>
      </c>
      <c r="AM197" s="451">
        <v>2105482.6765455706</v>
      </c>
      <c r="AN197" s="453" t="s">
        <v>108</v>
      </c>
      <c r="AO197" s="453">
        <v>1</v>
      </c>
      <c r="AP197" s="453">
        <v>3</v>
      </c>
      <c r="AQ197" s="458">
        <v>0.58596825901404903</v>
      </c>
      <c r="AR197" s="453"/>
      <c r="AS197" s="459" t="s">
        <v>104</v>
      </c>
      <c r="AT197" s="453" t="s">
        <v>109</v>
      </c>
      <c r="AU197" s="453" t="s">
        <v>479</v>
      </c>
      <c r="AV197" s="460"/>
      <c r="AW197" s="453" t="s">
        <v>1431</v>
      </c>
      <c r="AX197" s="453"/>
      <c r="AY197" s="453"/>
      <c r="BA197" s="464" t="str">
        <f>_xlfn.XLOOKUP(B197,'School List from APT'!A:A,'School List from APT'!C:C,"",FALSE)</f>
        <v>William Murdoch Primary School</v>
      </c>
    </row>
    <row r="198" spans="1:53" x14ac:dyDescent="0.25">
      <c r="A198" s="453" t="s">
        <v>481</v>
      </c>
      <c r="B198" s="453">
        <v>2445</v>
      </c>
      <c r="C198" s="453">
        <v>2445</v>
      </c>
      <c r="D198" s="453" t="s">
        <v>482</v>
      </c>
      <c r="F198" s="454" t="s">
        <v>162</v>
      </c>
      <c r="G198" s="454" t="s">
        <v>36</v>
      </c>
      <c r="H198" s="451">
        <v>76237.265321297076</v>
      </c>
      <c r="I198" s="451">
        <v>0</v>
      </c>
      <c r="J198" s="455">
        <v>76237.265321297076</v>
      </c>
      <c r="K198" s="451">
        <v>1190957.5858906654</v>
      </c>
      <c r="L198" s="451">
        <v>245052.75</v>
      </c>
      <c r="M198" s="451">
        <v>0</v>
      </c>
      <c r="N198" s="451">
        <v>1436010.3358906654</v>
      </c>
      <c r="O198" s="451">
        <v>19698.25816666667</v>
      </c>
      <c r="P198" s="451">
        <v>0</v>
      </c>
      <c r="Q198" s="451">
        <v>0</v>
      </c>
      <c r="R198" s="451">
        <v>0</v>
      </c>
      <c r="S198" s="451">
        <v>19698.25816666667</v>
      </c>
      <c r="T198" s="451">
        <v>1455708.594057332</v>
      </c>
      <c r="U198" s="451">
        <v>0</v>
      </c>
      <c r="V198" s="451">
        <v>1531945.8593786291</v>
      </c>
      <c r="W198" s="451">
        <v>1450700.17</v>
      </c>
      <c r="X198" s="451">
        <v>-7602.04</v>
      </c>
      <c r="Y198" s="451"/>
      <c r="Z198" s="451"/>
      <c r="AA198" s="456"/>
      <c r="AB198" s="451">
        <v>1443098.13</v>
      </c>
      <c r="AC198" s="451">
        <v>88847.729378629243</v>
      </c>
      <c r="AD198" s="451">
        <v>106.73217144981591</v>
      </c>
      <c r="AE198" s="457">
        <v>88954.461550079053</v>
      </c>
      <c r="AF198" s="451">
        <v>12717.196228781977</v>
      </c>
      <c r="AG198" s="451">
        <v>76237.265321297076</v>
      </c>
      <c r="AH198" s="451">
        <v>76237.265321297076</v>
      </c>
      <c r="AI198" s="451">
        <v>71800.51679453328</v>
      </c>
      <c r="AJ198" s="451">
        <v>106.73217144981591</v>
      </c>
      <c r="AK198" s="462"/>
      <c r="AL198" s="453" t="s">
        <v>108</v>
      </c>
      <c r="AM198" s="451">
        <v>88954.461550079053</v>
      </c>
      <c r="AN198" s="453" t="s">
        <v>108</v>
      </c>
      <c r="AO198" s="453">
        <v>128</v>
      </c>
      <c r="AP198" s="453">
        <v>125</v>
      </c>
      <c r="AQ198" s="458">
        <v>6.1107327327199694E-2</v>
      </c>
      <c r="AS198" s="459" t="s">
        <v>104</v>
      </c>
      <c r="AT198" s="453" t="s">
        <v>104</v>
      </c>
      <c r="AU198" s="464" t="s">
        <v>481</v>
      </c>
      <c r="AV198" s="460" t="s">
        <v>36</v>
      </c>
      <c r="AW198" s="453" t="s">
        <v>1430</v>
      </c>
      <c r="BA198" s="464" t="str">
        <f>_xlfn.XLOOKUP(B198,'School List from APT'!A:A,'School List from APT'!C:C,"",FALSE)</f>
        <v>Woodcock Hill Primary School</v>
      </c>
    </row>
    <row r="199" spans="1:53" x14ac:dyDescent="0.25">
      <c r="A199" s="453" t="s">
        <v>483</v>
      </c>
      <c r="B199" s="453">
        <v>2278</v>
      </c>
      <c r="C199" s="453">
        <v>2278</v>
      </c>
      <c r="D199" s="453" t="s">
        <v>484</v>
      </c>
      <c r="F199" s="454" t="s">
        <v>162</v>
      </c>
      <c r="G199" s="454" t="s">
        <v>36</v>
      </c>
      <c r="H199" s="451">
        <v>249789.32014086202</v>
      </c>
      <c r="I199" s="451">
        <v>0</v>
      </c>
      <c r="J199" s="455">
        <v>249789.32014086202</v>
      </c>
      <c r="K199" s="451">
        <v>1969699.666149827</v>
      </c>
      <c r="L199" s="451">
        <v>372881</v>
      </c>
      <c r="M199" s="451">
        <v>0</v>
      </c>
      <c r="N199" s="451">
        <v>2342580.6661498267</v>
      </c>
      <c r="O199" s="451">
        <v>65354.72583333333</v>
      </c>
      <c r="P199" s="451">
        <v>0</v>
      </c>
      <c r="Q199" s="451">
        <v>0</v>
      </c>
      <c r="R199" s="451">
        <v>0</v>
      </c>
      <c r="S199" s="451">
        <v>65354.72583333333</v>
      </c>
      <c r="T199" s="451">
        <v>2407935.3919831598</v>
      </c>
      <c r="U199" s="451">
        <v>0</v>
      </c>
      <c r="V199" s="451">
        <v>2657724.7121240217</v>
      </c>
      <c r="W199" s="451">
        <v>2385071.79</v>
      </c>
      <c r="X199" s="451">
        <v>0</v>
      </c>
      <c r="Y199" s="451"/>
      <c r="Z199" s="451"/>
      <c r="AA199" s="456"/>
      <c r="AB199" s="451">
        <v>2385071.79</v>
      </c>
      <c r="AC199" s="451">
        <v>272652.92212402169</v>
      </c>
      <c r="AD199" s="451">
        <v>349.70504819720685</v>
      </c>
      <c r="AE199" s="457">
        <v>273002.62717221887</v>
      </c>
      <c r="AF199" s="451">
        <v>23213.307031356846</v>
      </c>
      <c r="AG199" s="451">
        <v>249789.32014086202</v>
      </c>
      <c r="AH199" s="451">
        <v>249789.32014086202</v>
      </c>
      <c r="AI199" s="451">
        <v>117129.03330749134</v>
      </c>
      <c r="AJ199" s="451">
        <v>349.70504819720685</v>
      </c>
      <c r="AK199" s="462"/>
      <c r="AL199" s="453" t="s">
        <v>108</v>
      </c>
      <c r="AM199" s="451">
        <v>273002.62717221887</v>
      </c>
      <c r="AN199" s="453" t="s">
        <v>108</v>
      </c>
      <c r="AO199" s="453">
        <v>69</v>
      </c>
      <c r="AP199" s="453">
        <v>90</v>
      </c>
      <c r="AQ199" s="458">
        <v>0.11337622599058843</v>
      </c>
      <c r="AS199" s="459" t="s">
        <v>104</v>
      </c>
      <c r="AT199" s="453" t="s">
        <v>104</v>
      </c>
      <c r="AU199" s="464" t="s">
        <v>483</v>
      </c>
      <c r="AV199" s="460" t="s">
        <v>36</v>
      </c>
      <c r="AW199" s="453" t="s">
        <v>1430</v>
      </c>
      <c r="BA199" s="464" t="str">
        <f>_xlfn.XLOOKUP(B199,'School List from APT'!A:A,'School List from APT'!C:C,"",FALSE)</f>
        <v>Woodgate Primary School</v>
      </c>
    </row>
    <row r="200" spans="1:53" x14ac:dyDescent="0.25">
      <c r="A200" s="453" t="s">
        <v>485</v>
      </c>
      <c r="B200" s="453">
        <v>2314</v>
      </c>
      <c r="C200" s="453">
        <v>2314</v>
      </c>
      <c r="D200" s="453" t="s">
        <v>486</v>
      </c>
      <c r="F200" s="454" t="s">
        <v>162</v>
      </c>
      <c r="G200" s="454" t="s">
        <v>36</v>
      </c>
      <c r="H200" s="451">
        <v>111879.14632954702</v>
      </c>
      <c r="I200" s="451">
        <v>0</v>
      </c>
      <c r="J200" s="455">
        <v>111879.14632954702</v>
      </c>
      <c r="K200" s="451">
        <v>958419.85803206125</v>
      </c>
      <c r="L200" s="451">
        <v>133396</v>
      </c>
      <c r="M200" s="451">
        <v>0</v>
      </c>
      <c r="N200" s="451">
        <v>1091815.8580320613</v>
      </c>
      <c r="O200" s="451">
        <v>5699.3233333333337</v>
      </c>
      <c r="P200" s="451">
        <v>0</v>
      </c>
      <c r="Q200" s="451">
        <v>0</v>
      </c>
      <c r="R200" s="451">
        <v>0</v>
      </c>
      <c r="S200" s="451">
        <v>5699.3233333333337</v>
      </c>
      <c r="T200" s="451">
        <v>1097515.1813653945</v>
      </c>
      <c r="U200" s="451">
        <v>0</v>
      </c>
      <c r="V200" s="451">
        <v>1209394.3276949415</v>
      </c>
      <c r="W200" s="451">
        <v>1120022.8999999999</v>
      </c>
      <c r="X200" s="451">
        <v>-2800</v>
      </c>
      <c r="Y200" s="451"/>
      <c r="Z200" s="451"/>
      <c r="AA200" s="456"/>
      <c r="AB200" s="451">
        <v>1117222.8999999999</v>
      </c>
      <c r="AC200" s="451">
        <v>92171.427694941638</v>
      </c>
      <c r="AD200" s="451">
        <v>129.0399987729183</v>
      </c>
      <c r="AE200" s="457">
        <v>92300.467693714556</v>
      </c>
      <c r="AF200" s="451">
        <v>-19578.678635832461</v>
      </c>
      <c r="AG200" s="451">
        <v>111879.14632954702</v>
      </c>
      <c r="AH200" s="451">
        <v>92171.427694941638</v>
      </c>
      <c r="AI200" s="451">
        <v>54590.792901603068</v>
      </c>
      <c r="AJ200" s="451">
        <v>129.0399987729183</v>
      </c>
      <c r="AK200" s="462"/>
      <c r="AL200" s="453" t="s">
        <v>108</v>
      </c>
      <c r="AM200" s="451">
        <v>92300.467693714556</v>
      </c>
      <c r="AN200" s="453" t="s">
        <v>108</v>
      </c>
      <c r="AO200" s="453">
        <v>125</v>
      </c>
      <c r="AP200" s="453">
        <v>110</v>
      </c>
      <c r="AQ200" s="458">
        <v>8.4099490613774988E-2</v>
      </c>
      <c r="AS200" s="459" t="s">
        <v>104</v>
      </c>
      <c r="AT200" s="453" t="s">
        <v>104</v>
      </c>
      <c r="AU200" s="464" t="s">
        <v>485</v>
      </c>
      <c r="AV200" s="460" t="s">
        <v>36</v>
      </c>
      <c r="AW200" s="453" t="s">
        <v>1430</v>
      </c>
      <c r="BA200" s="464" t="str">
        <f>_xlfn.XLOOKUP(B200,'School List from APT'!A:A,'School List from APT'!C:C,"",FALSE)</f>
        <v>Woodthorpe Junior and Infant School</v>
      </c>
    </row>
    <row r="201" spans="1:53" x14ac:dyDescent="0.25">
      <c r="A201" s="453" t="s">
        <v>487</v>
      </c>
      <c r="B201" s="453">
        <v>2317</v>
      </c>
      <c r="C201" s="453">
        <v>2317</v>
      </c>
      <c r="D201" s="453" t="s">
        <v>488</v>
      </c>
      <c r="E201" s="453" t="s">
        <v>83</v>
      </c>
      <c r="F201" s="454" t="s">
        <v>162</v>
      </c>
      <c r="G201" s="454" t="s">
        <v>36</v>
      </c>
      <c r="H201" s="451">
        <v>56955.482448628994</v>
      </c>
      <c r="I201" s="451">
        <v>0</v>
      </c>
      <c r="J201" s="455">
        <v>56955.482448628994</v>
      </c>
      <c r="K201" s="451">
        <v>1576300.7045647984</v>
      </c>
      <c r="L201" s="451">
        <v>258376.8125</v>
      </c>
      <c r="M201" s="451">
        <v>-21444.570000000007</v>
      </c>
      <c r="N201" s="451">
        <v>1813232.9470647983</v>
      </c>
      <c r="O201" s="451">
        <v>109152.60092463414</v>
      </c>
      <c r="P201" s="451">
        <v>0</v>
      </c>
      <c r="Q201" s="451">
        <v>0</v>
      </c>
      <c r="R201" s="451">
        <v>0</v>
      </c>
      <c r="S201" s="451">
        <v>109152.60092463414</v>
      </c>
      <c r="T201" s="451">
        <v>1922385.5479894325</v>
      </c>
      <c r="U201" s="451">
        <v>0</v>
      </c>
      <c r="V201" s="451">
        <v>1979341.0304380616</v>
      </c>
      <c r="W201" s="451">
        <v>1896927.08</v>
      </c>
      <c r="X201" s="451">
        <v>0</v>
      </c>
      <c r="Y201" s="451"/>
      <c r="Z201" s="451"/>
      <c r="AA201" s="456"/>
      <c r="AB201" s="451">
        <v>1896927.08</v>
      </c>
      <c r="AC201" s="451">
        <v>82413.950438061496</v>
      </c>
      <c r="AD201" s="451">
        <v>79.737675428080593</v>
      </c>
      <c r="AE201" s="457">
        <v>82493.688113489581</v>
      </c>
      <c r="AF201" s="451">
        <v>25538.205664860587</v>
      </c>
      <c r="AG201" s="451">
        <v>56955.482448628994</v>
      </c>
      <c r="AH201" s="451">
        <v>56955.482448628994</v>
      </c>
      <c r="AI201" s="451">
        <v>90661.647353239925</v>
      </c>
      <c r="AJ201" s="451">
        <v>79.737675428080593</v>
      </c>
      <c r="AK201" s="462"/>
      <c r="AL201" s="453" t="s">
        <v>108</v>
      </c>
      <c r="AM201" s="451">
        <v>82493.688113489581</v>
      </c>
      <c r="AN201" s="453" t="s">
        <v>108</v>
      </c>
      <c r="AO201" s="453">
        <v>130</v>
      </c>
      <c r="AP201" s="453">
        <v>135</v>
      </c>
      <c r="AQ201" s="458">
        <v>4.2912145380913494E-2</v>
      </c>
      <c r="AS201" s="459" t="s">
        <v>104</v>
      </c>
      <c r="AT201" s="453" t="s">
        <v>104</v>
      </c>
      <c r="AU201" s="464" t="s">
        <v>487</v>
      </c>
      <c r="AV201" s="460" t="s">
        <v>36</v>
      </c>
      <c r="AW201" s="453" t="s">
        <v>1430</v>
      </c>
      <c r="BA201" s="464" t="str">
        <f>_xlfn.XLOOKUP(B201,'School List from APT'!A:A,'School List from APT'!C:C,"",FALSE)</f>
        <v>World's End Infant and Nursery School</v>
      </c>
    </row>
    <row r="202" spans="1:53" x14ac:dyDescent="0.25">
      <c r="A202" s="453" t="s">
        <v>489</v>
      </c>
      <c r="B202" s="453">
        <v>2225</v>
      </c>
      <c r="C202" s="453">
        <v>2225</v>
      </c>
      <c r="D202" s="453" t="s">
        <v>490</v>
      </c>
      <c r="F202" s="454" t="s">
        <v>162</v>
      </c>
      <c r="G202" s="454" t="s">
        <v>107</v>
      </c>
      <c r="H202" s="451">
        <v>524390.6356435304</v>
      </c>
      <c r="I202" s="451">
        <v>4.3564696097746491E-3</v>
      </c>
      <c r="J202" s="455">
        <v>524390.64</v>
      </c>
      <c r="K202" s="451">
        <v>1686662.8428050706</v>
      </c>
      <c r="L202" s="451">
        <v>279514.3125</v>
      </c>
      <c r="M202" s="451">
        <v>0</v>
      </c>
      <c r="N202" s="451">
        <v>1966177.1553050706</v>
      </c>
      <c r="O202" s="451">
        <v>180052.82316666667</v>
      </c>
      <c r="P202" s="451">
        <v>0</v>
      </c>
      <c r="Q202" s="451">
        <v>0</v>
      </c>
      <c r="R202" s="451">
        <v>0</v>
      </c>
      <c r="S202" s="451">
        <v>180052.82316666667</v>
      </c>
      <c r="T202" s="451">
        <v>2146229.9784717374</v>
      </c>
      <c r="U202" s="451">
        <v>0</v>
      </c>
      <c r="V202" s="451">
        <v>2670620.6184717375</v>
      </c>
      <c r="W202" s="451">
        <v>2339601.77</v>
      </c>
      <c r="X202" s="451">
        <v>0</v>
      </c>
      <c r="Y202" s="451"/>
      <c r="Z202" s="451"/>
      <c r="AA202" s="456"/>
      <c r="AB202" s="451">
        <v>2339601.77</v>
      </c>
      <c r="AC202" s="451">
        <v>331018.84847173747</v>
      </c>
      <c r="AD202" s="451">
        <v>0</v>
      </c>
      <c r="AE202" s="457">
        <v>331018.84847173747</v>
      </c>
      <c r="AF202" s="451">
        <v>-193371.79152826255</v>
      </c>
      <c r="AG202" s="451">
        <v>524390.64</v>
      </c>
      <c r="AH202" s="451">
        <v>0</v>
      </c>
      <c r="AI202" s="451">
        <v>0</v>
      </c>
      <c r="AJ202" s="451">
        <v>0</v>
      </c>
      <c r="AK202" s="462"/>
      <c r="AL202" s="453" t="s">
        <v>108</v>
      </c>
      <c r="AM202" s="451">
        <v>331018.84847173747</v>
      </c>
      <c r="AN202" s="453" t="s">
        <v>108</v>
      </c>
      <c r="AO202" s="453">
        <v>51</v>
      </c>
      <c r="AP202" s="453">
        <v>58</v>
      </c>
      <c r="AQ202" s="458">
        <v>0.15423270189686081</v>
      </c>
      <c r="AS202" s="459" t="s">
        <v>104</v>
      </c>
      <c r="AT202" s="453" t="s">
        <v>109</v>
      </c>
      <c r="AU202" s="464" t="s">
        <v>489</v>
      </c>
      <c r="AV202" s="460" t="s">
        <v>36</v>
      </c>
      <c r="AW202" s="453" t="s">
        <v>1431</v>
      </c>
      <c r="BA202" s="464" t="str">
        <f>_xlfn.XLOOKUP(B202,'School List from APT'!A:A,'School List from APT'!C:C,"",FALSE)</f>
        <v>World's End Junior School</v>
      </c>
    </row>
    <row r="203" spans="1:53" x14ac:dyDescent="0.25">
      <c r="A203" s="453" t="s">
        <v>491</v>
      </c>
      <c r="B203" s="453">
        <v>2412</v>
      </c>
      <c r="C203" s="453">
        <v>2412</v>
      </c>
      <c r="D203" s="453" t="s">
        <v>492</v>
      </c>
      <c r="F203" s="454" t="s">
        <v>162</v>
      </c>
      <c r="G203" s="454" t="s">
        <v>36</v>
      </c>
      <c r="H203" s="451">
        <v>383005.96786376456</v>
      </c>
      <c r="I203" s="451">
        <v>0</v>
      </c>
      <c r="J203" s="455">
        <v>383005.96786376456</v>
      </c>
      <c r="K203" s="451">
        <v>1837389.6695998891</v>
      </c>
      <c r="L203" s="451">
        <v>239561.875</v>
      </c>
      <c r="M203" s="451">
        <v>0</v>
      </c>
      <c r="N203" s="451">
        <v>2076951.5445998891</v>
      </c>
      <c r="O203" s="451">
        <v>41098.9565</v>
      </c>
      <c r="P203" s="451">
        <v>0</v>
      </c>
      <c r="Q203" s="451">
        <v>0</v>
      </c>
      <c r="R203" s="451">
        <v>0</v>
      </c>
      <c r="S203" s="451">
        <v>41098.9565</v>
      </c>
      <c r="T203" s="451">
        <v>2118050.5010998892</v>
      </c>
      <c r="U203" s="451">
        <v>0</v>
      </c>
      <c r="V203" s="451">
        <v>2501056.4689636538</v>
      </c>
      <c r="W203" s="451">
        <v>2024767</v>
      </c>
      <c r="X203" s="451">
        <v>0</v>
      </c>
      <c r="Y203" s="451"/>
      <c r="Z203" s="451"/>
      <c r="AA203" s="456"/>
      <c r="AB203" s="451">
        <v>2024767</v>
      </c>
      <c r="AC203" s="451">
        <v>476289.46896365378</v>
      </c>
      <c r="AD203" s="451">
        <v>536.20835500927035</v>
      </c>
      <c r="AE203" s="457">
        <v>476825.67731866305</v>
      </c>
      <c r="AF203" s="451">
        <v>93819.70945489849</v>
      </c>
      <c r="AG203" s="451">
        <v>383005.96786376456</v>
      </c>
      <c r="AH203" s="451">
        <v>383005.96786376456</v>
      </c>
      <c r="AI203" s="451">
        <v>103847.57722999447</v>
      </c>
      <c r="AJ203" s="451">
        <v>536.20835500927035</v>
      </c>
      <c r="AK203" s="462"/>
      <c r="AL203" s="453" t="s">
        <v>108</v>
      </c>
      <c r="AM203" s="451">
        <v>476825.67731866305</v>
      </c>
      <c r="AN203" s="453" t="s">
        <v>108</v>
      </c>
      <c r="AO203" s="453">
        <v>27</v>
      </c>
      <c r="AP203" s="453">
        <v>24</v>
      </c>
      <c r="AQ203" s="458">
        <v>0.22512479143960482</v>
      </c>
      <c r="AS203" s="459" t="s">
        <v>104</v>
      </c>
      <c r="AT203" s="453" t="s">
        <v>104</v>
      </c>
      <c r="AU203" s="464" t="s">
        <v>491</v>
      </c>
      <c r="AV203" s="460" t="s">
        <v>36</v>
      </c>
      <c r="AW203" s="453" t="s">
        <v>1431</v>
      </c>
      <c r="BA203" s="464" t="str">
        <f>_xlfn.XLOOKUP(B203,'School List from APT'!A:A,'School List from APT'!C:C,"",FALSE)</f>
        <v>Wylde Green Primary School</v>
      </c>
    </row>
    <row r="204" spans="1:53" x14ac:dyDescent="0.25">
      <c r="A204" s="453" t="s">
        <v>493</v>
      </c>
      <c r="B204" s="453">
        <v>3421</v>
      </c>
      <c r="C204" s="453">
        <v>3421</v>
      </c>
      <c r="D204" s="453" t="s">
        <v>494</v>
      </c>
      <c r="F204" s="454" t="s">
        <v>162</v>
      </c>
      <c r="G204" s="454" t="s">
        <v>36</v>
      </c>
      <c r="H204" s="451">
        <v>637656.38718888245</v>
      </c>
      <c r="I204" s="451">
        <v>0</v>
      </c>
      <c r="J204" s="455">
        <v>637656.38718888245</v>
      </c>
      <c r="K204" s="451">
        <v>3681246.6745838565</v>
      </c>
      <c r="L204" s="451">
        <v>513249.625</v>
      </c>
      <c r="M204" s="451">
        <v>0</v>
      </c>
      <c r="N204" s="451">
        <v>4194496.299583856</v>
      </c>
      <c r="O204" s="451">
        <v>25967.850250000003</v>
      </c>
      <c r="P204" s="451">
        <v>0</v>
      </c>
      <c r="Q204" s="451">
        <v>0</v>
      </c>
      <c r="R204" s="451">
        <v>0</v>
      </c>
      <c r="S204" s="451">
        <v>25967.850250000003</v>
      </c>
      <c r="T204" s="451">
        <v>4220464.1498338562</v>
      </c>
      <c r="U204" s="451">
        <v>0</v>
      </c>
      <c r="V204" s="451">
        <v>4858120.5370227387</v>
      </c>
      <c r="W204" s="451">
        <v>4328489.04</v>
      </c>
      <c r="X204" s="451">
        <v>550</v>
      </c>
      <c r="Y204" s="451"/>
      <c r="Z204" s="451"/>
      <c r="AA204" s="456"/>
      <c r="AB204" s="451">
        <v>4329039.04</v>
      </c>
      <c r="AC204" s="451">
        <v>529081.49702273868</v>
      </c>
      <c r="AD204" s="451">
        <v>740.71409583183413</v>
      </c>
      <c r="AE204" s="457">
        <v>529822.21111857053</v>
      </c>
      <c r="AF204" s="451">
        <v>-107834.17607031192</v>
      </c>
      <c r="AG204" s="451">
        <v>637656.38718888245</v>
      </c>
      <c r="AH204" s="451">
        <v>529081.49702273868</v>
      </c>
      <c r="AI204" s="451">
        <v>209724.8149791928</v>
      </c>
      <c r="AJ204" s="451">
        <v>740.71409583183413</v>
      </c>
      <c r="AK204" s="462"/>
      <c r="AL204" s="453" t="s">
        <v>108</v>
      </c>
      <c r="AM204" s="451">
        <v>529822.21111857053</v>
      </c>
      <c r="AN204" s="453" t="s">
        <v>108</v>
      </c>
      <c r="AO204" s="453">
        <v>20</v>
      </c>
      <c r="AP204" s="453">
        <v>83</v>
      </c>
      <c r="AQ204" s="458">
        <v>0.12553647947452121</v>
      </c>
      <c r="AS204" s="459" t="s">
        <v>104</v>
      </c>
      <c r="AT204" s="453" t="s">
        <v>104</v>
      </c>
      <c r="AU204" s="464" t="s">
        <v>493</v>
      </c>
      <c r="AV204" s="460" t="s">
        <v>36</v>
      </c>
      <c r="AW204" s="453" t="s">
        <v>1430</v>
      </c>
      <c r="BA204" s="464" t="str">
        <f>_xlfn.XLOOKUP(B204,'School List from APT'!A:A,'School List from APT'!C:C,"",FALSE)</f>
        <v>Yardley Primary School</v>
      </c>
    </row>
    <row r="205" spans="1:53" x14ac:dyDescent="0.25">
      <c r="A205" s="453" t="s">
        <v>495</v>
      </c>
      <c r="B205" s="453">
        <v>2227</v>
      </c>
      <c r="C205" s="453">
        <v>2227</v>
      </c>
      <c r="D205" s="453" t="s">
        <v>496</v>
      </c>
      <c r="E205" s="453" t="s">
        <v>83</v>
      </c>
      <c r="F205" s="454" t="s">
        <v>162</v>
      </c>
      <c r="G205" s="454" t="s">
        <v>36</v>
      </c>
      <c r="H205" s="451">
        <v>331052.91005428584</v>
      </c>
      <c r="I205" s="451">
        <v>0</v>
      </c>
      <c r="J205" s="455">
        <v>331052.91005428584</v>
      </c>
      <c r="K205" s="451">
        <v>2191280.7692066189</v>
      </c>
      <c r="L205" s="451">
        <v>407814.125</v>
      </c>
      <c r="M205" s="451">
        <v>-6797.5216216216504</v>
      </c>
      <c r="N205" s="451">
        <v>2592297.3725849972</v>
      </c>
      <c r="O205" s="451">
        <v>25427.169333333335</v>
      </c>
      <c r="P205" s="451">
        <v>0</v>
      </c>
      <c r="Q205" s="451">
        <v>0</v>
      </c>
      <c r="R205" s="451">
        <v>0</v>
      </c>
      <c r="S205" s="451">
        <v>25427.169333333335</v>
      </c>
      <c r="T205" s="451">
        <v>2617724.5419183304</v>
      </c>
      <c r="U205" s="451">
        <v>0</v>
      </c>
      <c r="V205" s="451">
        <v>2948777.4519726164</v>
      </c>
      <c r="W205" s="451">
        <v>2584409.79</v>
      </c>
      <c r="X205" s="451">
        <v>-12095</v>
      </c>
      <c r="Y205" s="451"/>
      <c r="Z205" s="451"/>
      <c r="AA205" s="456"/>
      <c r="AB205" s="451">
        <v>2572314.79</v>
      </c>
      <c r="AC205" s="451">
        <v>376462.66197261633</v>
      </c>
      <c r="AD205" s="451">
        <v>463.47407407600019</v>
      </c>
      <c r="AE205" s="457">
        <v>376926.13604669232</v>
      </c>
      <c r="AF205" s="451">
        <v>45873.225992406486</v>
      </c>
      <c r="AG205" s="451">
        <v>331052.91005428584</v>
      </c>
      <c r="AH205" s="451">
        <v>331052.91005428584</v>
      </c>
      <c r="AI205" s="451">
        <v>129614.86862924986</v>
      </c>
      <c r="AJ205" s="451">
        <v>463.47407407600019</v>
      </c>
      <c r="AK205" s="462"/>
      <c r="AL205" s="453" t="s">
        <v>108</v>
      </c>
      <c r="AM205" s="451">
        <v>376926.13604669232</v>
      </c>
      <c r="AN205" s="453" t="s">
        <v>108</v>
      </c>
      <c r="AO205" s="453">
        <v>41</v>
      </c>
      <c r="AP205" s="453">
        <v>68</v>
      </c>
      <c r="AQ205" s="458">
        <v>0.1439899920755115</v>
      </c>
      <c r="AS205" s="459" t="s">
        <v>104</v>
      </c>
      <c r="AT205" s="453" t="s">
        <v>104</v>
      </c>
      <c r="AU205" s="464" t="s">
        <v>495</v>
      </c>
      <c r="AV205" s="460" t="s">
        <v>36</v>
      </c>
      <c r="AW205" s="453" t="s">
        <v>1430</v>
      </c>
      <c r="BA205" s="464" t="str">
        <f>_xlfn.XLOOKUP(B205,'School List from APT'!A:A,'School List from APT'!C:C,"",FALSE)</f>
        <v>Yardley Wood Community Primary School</v>
      </c>
    </row>
    <row r="206" spans="1:53" x14ac:dyDescent="0.25">
      <c r="A206" s="453" t="s">
        <v>497</v>
      </c>
      <c r="B206" s="453">
        <v>2231</v>
      </c>
      <c r="C206" s="453">
        <v>2231</v>
      </c>
      <c r="D206" s="453" t="s">
        <v>498</v>
      </c>
      <c r="E206" s="453" t="s">
        <v>83</v>
      </c>
      <c r="F206" s="454" t="s">
        <v>162</v>
      </c>
      <c r="G206" s="454" t="s">
        <v>36</v>
      </c>
      <c r="H206" s="451">
        <v>305082.01332815841</v>
      </c>
      <c r="I206" s="451">
        <v>0</v>
      </c>
      <c r="J206" s="455">
        <v>305082.01332815841</v>
      </c>
      <c r="K206" s="451">
        <v>2010499.2636435903</v>
      </c>
      <c r="L206" s="451">
        <v>280316.125</v>
      </c>
      <c r="M206" s="451">
        <v>12043.005405405434</v>
      </c>
      <c r="N206" s="451">
        <v>2302858.3940489958</v>
      </c>
      <c r="O206" s="451">
        <v>17944.488833333333</v>
      </c>
      <c r="P206" s="451">
        <v>0</v>
      </c>
      <c r="Q206" s="451">
        <v>0</v>
      </c>
      <c r="R206" s="451">
        <v>0</v>
      </c>
      <c r="S206" s="451">
        <v>17944.488833333333</v>
      </c>
      <c r="T206" s="451">
        <v>2320802.8828823292</v>
      </c>
      <c r="U206" s="451">
        <v>0</v>
      </c>
      <c r="V206" s="451">
        <v>2625884.8962104875</v>
      </c>
      <c r="W206" s="451">
        <v>2341839.42</v>
      </c>
      <c r="X206" s="451">
        <v>-17379</v>
      </c>
      <c r="Y206" s="451"/>
      <c r="Z206" s="451"/>
      <c r="AA206" s="456"/>
      <c r="AB206" s="451">
        <v>2324460.42</v>
      </c>
      <c r="AC206" s="451">
        <v>301424.47621048754</v>
      </c>
      <c r="AD206" s="451">
        <v>421.99426669468249</v>
      </c>
      <c r="AE206" s="457">
        <v>301846.47047718224</v>
      </c>
      <c r="AF206" s="451">
        <v>-3235.5428509761696</v>
      </c>
      <c r="AG206" s="451">
        <v>305082.01332815841</v>
      </c>
      <c r="AH206" s="451">
        <v>301424.47621048754</v>
      </c>
      <c r="AI206" s="451">
        <v>115142.9197024498</v>
      </c>
      <c r="AJ206" s="451">
        <v>421.99426669468249</v>
      </c>
      <c r="AK206" s="462"/>
      <c r="AL206" s="453" t="s">
        <v>108</v>
      </c>
      <c r="AM206" s="451">
        <v>301846.47047718224</v>
      </c>
      <c r="AN206" s="453" t="s">
        <v>108</v>
      </c>
      <c r="AO206" s="453">
        <v>58</v>
      </c>
      <c r="AP206" s="453">
        <v>76</v>
      </c>
      <c r="AQ206" s="458">
        <v>0.1300612269587941</v>
      </c>
      <c r="AS206" s="459" t="s">
        <v>104</v>
      </c>
      <c r="AT206" s="453" t="s">
        <v>104</v>
      </c>
      <c r="AU206" s="464" t="s">
        <v>497</v>
      </c>
      <c r="AV206" s="460" t="s">
        <v>36</v>
      </c>
      <c r="AW206" s="453" t="s">
        <v>1430</v>
      </c>
      <c r="BA206" s="464" t="str">
        <f>_xlfn.XLOOKUP(B206,'School List from APT'!A:A,'School List from APT'!C:C,"",FALSE)</f>
        <v>Yorkmead Junior and Infant School</v>
      </c>
    </row>
    <row r="207" spans="1:53" x14ac:dyDescent="0.25">
      <c r="G207" s="454" t="s">
        <v>36</v>
      </c>
      <c r="H207" s="451" t="s">
        <v>36</v>
      </c>
      <c r="I207" s="451"/>
      <c r="J207" s="455">
        <v>0</v>
      </c>
      <c r="K207" s="451"/>
      <c r="L207" s="451"/>
      <c r="M207" s="451"/>
      <c r="N207" s="451"/>
      <c r="O207" s="451"/>
      <c r="P207" s="451"/>
      <c r="Q207" s="451"/>
      <c r="R207" s="451"/>
      <c r="S207" s="451">
        <v>0</v>
      </c>
      <c r="T207" s="451">
        <v>0</v>
      </c>
      <c r="U207" s="451"/>
      <c r="V207" s="451">
        <v>0</v>
      </c>
      <c r="W207" s="451">
        <v>0</v>
      </c>
      <c r="X207" s="451">
        <v>0</v>
      </c>
      <c r="Y207" s="451"/>
      <c r="Z207" s="451"/>
      <c r="AA207" s="456"/>
      <c r="AB207" s="451"/>
      <c r="AC207" s="451"/>
      <c r="AD207" s="451"/>
      <c r="AE207" s="457"/>
      <c r="AF207" s="451"/>
      <c r="AG207" s="451"/>
      <c r="AH207" s="451"/>
      <c r="AI207" s="451"/>
      <c r="AJ207" s="451"/>
      <c r="AK207" s="462"/>
      <c r="AM207" s="451"/>
      <c r="AQ207" s="458"/>
      <c r="AS207" s="459"/>
      <c r="AV207" s="460" t="s">
        <v>36</v>
      </c>
      <c r="BA207" s="464" t="str">
        <f>_xlfn.XLOOKUP(B207,'School List from APT'!A:A,'School List from APT'!C:C,"",FALSE)</f>
        <v/>
      </c>
    </row>
    <row r="208" spans="1:53" x14ac:dyDescent="0.25">
      <c r="A208" s="453" t="s">
        <v>499</v>
      </c>
      <c r="B208" s="453">
        <v>5413</v>
      </c>
      <c r="C208" s="453">
        <v>5413</v>
      </c>
      <c r="D208" s="453" t="s">
        <v>500</v>
      </c>
      <c r="F208" s="454" t="s">
        <v>501</v>
      </c>
      <c r="G208" s="454" t="s">
        <v>107</v>
      </c>
      <c r="H208" s="451">
        <v>538992.22030536365</v>
      </c>
      <c r="I208" s="451">
        <v>-3.0536367557942867E-4</v>
      </c>
      <c r="J208" s="455">
        <v>538992.22</v>
      </c>
      <c r="K208" s="451">
        <v>6869535.9318093499</v>
      </c>
      <c r="L208" s="451">
        <v>576867.625</v>
      </c>
      <c r="M208" s="451"/>
      <c r="N208" s="451">
        <v>7446403.5568093499</v>
      </c>
      <c r="O208" s="451">
        <v>93057.492249999996</v>
      </c>
      <c r="P208" s="451">
        <v>0</v>
      </c>
      <c r="Q208" s="451">
        <v>0</v>
      </c>
      <c r="R208" s="451">
        <v>79744</v>
      </c>
      <c r="S208" s="451">
        <v>172801.49225000001</v>
      </c>
      <c r="T208" s="451">
        <v>7619205.04905935</v>
      </c>
      <c r="U208" s="451">
        <v>0</v>
      </c>
      <c r="V208" s="451">
        <v>8158197.2690593498</v>
      </c>
      <c r="W208" s="451">
        <v>7668696.0800000001</v>
      </c>
      <c r="X208" s="451">
        <v>0</v>
      </c>
      <c r="Y208" s="451"/>
      <c r="Z208" s="451"/>
      <c r="AA208" s="456"/>
      <c r="AB208" s="451">
        <v>7668696.0800000001</v>
      </c>
      <c r="AC208" s="451">
        <v>489501.18905934971</v>
      </c>
      <c r="AD208" s="451">
        <v>0</v>
      </c>
      <c r="AE208" s="457">
        <v>489501.18905934971</v>
      </c>
      <c r="AF208" s="451">
        <v>-49491.030940650264</v>
      </c>
      <c r="AG208" s="451">
        <v>538992.22</v>
      </c>
      <c r="AH208" s="451">
        <v>0</v>
      </c>
      <c r="AI208" s="451">
        <v>0</v>
      </c>
      <c r="AJ208" s="451">
        <v>0</v>
      </c>
      <c r="AK208" s="462"/>
      <c r="AL208" s="453" t="s">
        <v>108</v>
      </c>
      <c r="AM208" s="451">
        <v>489501.18905934971</v>
      </c>
      <c r="AN208" s="453" t="s">
        <v>108</v>
      </c>
      <c r="AO208" s="453">
        <v>13</v>
      </c>
      <c r="AP208" s="453">
        <v>15</v>
      </c>
      <c r="AQ208" s="458">
        <v>6.4245703575044541E-2</v>
      </c>
      <c r="AS208" s="459" t="s">
        <v>104</v>
      </c>
      <c r="AT208" s="453" t="s">
        <v>109</v>
      </c>
      <c r="AU208" s="464" t="s">
        <v>499</v>
      </c>
      <c r="AV208" s="460" t="s">
        <v>36</v>
      </c>
      <c r="AW208" s="453" t="s">
        <v>1431</v>
      </c>
      <c r="AY208" s="460"/>
      <c r="BA208" s="464" t="str">
        <f>_xlfn.XLOOKUP(B208,'School List from APT'!A:A,'School List from APT'!C:C,"",FALSE)</f>
        <v>Bishop Challoner Catholic College</v>
      </c>
    </row>
    <row r="209" spans="1:53" x14ac:dyDescent="0.25">
      <c r="A209" s="453" t="s">
        <v>502</v>
      </c>
      <c r="B209" s="453">
        <v>4115</v>
      </c>
      <c r="C209" s="453">
        <v>4115</v>
      </c>
      <c r="D209" s="453" t="s">
        <v>503</v>
      </c>
      <c r="F209" s="454" t="s">
        <v>501</v>
      </c>
      <c r="G209" s="454" t="s">
        <v>107</v>
      </c>
      <c r="H209" s="451">
        <v>1733220.8921431024</v>
      </c>
      <c r="I209" s="451">
        <v>-2.143102465197444E-3</v>
      </c>
      <c r="J209" s="455">
        <v>1733220.89</v>
      </c>
      <c r="K209" s="451">
        <v>6624501.1913794726</v>
      </c>
      <c r="L209" s="451">
        <v>525567.245</v>
      </c>
      <c r="M209" s="451"/>
      <c r="N209" s="451">
        <v>7150068.4363794727</v>
      </c>
      <c r="O209" s="451">
        <v>276023.90319890942</v>
      </c>
      <c r="P209" s="451">
        <v>27525</v>
      </c>
      <c r="Q209" s="451">
        <v>0</v>
      </c>
      <c r="R209" s="451">
        <v>39944</v>
      </c>
      <c r="S209" s="451">
        <v>343492.90319890942</v>
      </c>
      <c r="T209" s="451">
        <v>7493561.3395783817</v>
      </c>
      <c r="U209" s="451">
        <v>0</v>
      </c>
      <c r="V209" s="451">
        <v>9226782.2295783814</v>
      </c>
      <c r="W209" s="451">
        <v>7216482.8499999996</v>
      </c>
      <c r="X209" s="451">
        <v>0</v>
      </c>
      <c r="Y209" s="451"/>
      <c r="Z209" s="451"/>
      <c r="AA209" s="456"/>
      <c r="AB209" s="451">
        <v>7216482.8499999996</v>
      </c>
      <c r="AC209" s="451">
        <v>2010299.3795783818</v>
      </c>
      <c r="AD209" s="451">
        <v>0</v>
      </c>
      <c r="AE209" s="457">
        <v>2010299.3795783818</v>
      </c>
      <c r="AF209" s="451">
        <v>277078.48957838188</v>
      </c>
      <c r="AG209" s="451">
        <v>1733220.89</v>
      </c>
      <c r="AH209" s="451">
        <v>0</v>
      </c>
      <c r="AI209" s="451">
        <v>0</v>
      </c>
      <c r="AJ209" s="451">
        <v>0</v>
      </c>
      <c r="AK209" s="462"/>
      <c r="AL209" s="453" t="s">
        <v>108</v>
      </c>
      <c r="AM209" s="451">
        <v>2010299.3795783818</v>
      </c>
      <c r="AN209" s="453" t="s">
        <v>108</v>
      </c>
      <c r="AO209" s="453">
        <v>4</v>
      </c>
      <c r="AP209" s="453">
        <v>5</v>
      </c>
      <c r="AQ209" s="458">
        <v>0.2682702240603117</v>
      </c>
      <c r="AS209" s="459" t="s">
        <v>104</v>
      </c>
      <c r="AT209" s="453" t="s">
        <v>109</v>
      </c>
      <c r="AU209" s="464" t="s">
        <v>502</v>
      </c>
      <c r="AV209" s="460" t="s">
        <v>36</v>
      </c>
      <c r="AW209" s="453" t="s">
        <v>1431</v>
      </c>
      <c r="AY209" s="460"/>
      <c r="BA209" s="464" t="str">
        <f>_xlfn.XLOOKUP(B209,'School List from APT'!A:A,'School List from APT'!C:C,"",FALSE)</f>
        <v>Bordesley Green Girls' School &amp; Sixth Form</v>
      </c>
    </row>
    <row r="210" spans="1:53" x14ac:dyDescent="0.25">
      <c r="A210" s="453" t="s">
        <v>504</v>
      </c>
      <c r="B210" s="453">
        <v>4801</v>
      </c>
      <c r="C210" s="453">
        <v>4801</v>
      </c>
      <c r="D210" s="453" t="s">
        <v>505</v>
      </c>
      <c r="F210" s="454" t="s">
        <v>501</v>
      </c>
      <c r="G210" s="454" t="s">
        <v>107</v>
      </c>
      <c r="H210" s="451">
        <v>164714.43739333097</v>
      </c>
      <c r="I210" s="451">
        <v>2.6066690334118903E-3</v>
      </c>
      <c r="J210" s="455">
        <v>164714.44</v>
      </c>
      <c r="K210" s="451">
        <v>4762042.7839245414</v>
      </c>
      <c r="L210" s="451">
        <v>499610.57</v>
      </c>
      <c r="M210" s="451"/>
      <c r="N210" s="451">
        <v>5261653.3539245417</v>
      </c>
      <c r="O210" s="451">
        <v>51581.684916666665</v>
      </c>
      <c r="P210" s="451">
        <v>0</v>
      </c>
      <c r="Q210" s="451">
        <v>0</v>
      </c>
      <c r="R210" s="451">
        <v>0</v>
      </c>
      <c r="S210" s="451">
        <v>51581.684916666665</v>
      </c>
      <c r="T210" s="451">
        <v>5313235.0388412084</v>
      </c>
      <c r="U210" s="451">
        <v>0</v>
      </c>
      <c r="V210" s="451">
        <v>5477949.4788412089</v>
      </c>
      <c r="W210" s="451">
        <v>5229233.29</v>
      </c>
      <c r="X210" s="451">
        <v>0</v>
      </c>
      <c r="Y210" s="451"/>
      <c r="Z210" s="451"/>
      <c r="AA210" s="456"/>
      <c r="AB210" s="451">
        <v>5229233.29</v>
      </c>
      <c r="AC210" s="451">
        <v>248716.18884120882</v>
      </c>
      <c r="AD210" s="451">
        <v>0</v>
      </c>
      <c r="AE210" s="457">
        <v>248716.18884120882</v>
      </c>
      <c r="AF210" s="451">
        <v>84001.748841208813</v>
      </c>
      <c r="AG210" s="451">
        <v>164714.44</v>
      </c>
      <c r="AH210" s="451">
        <v>0</v>
      </c>
      <c r="AI210" s="451">
        <v>0</v>
      </c>
      <c r="AJ210" s="451">
        <v>0</v>
      </c>
      <c r="AK210" s="462"/>
      <c r="AL210" s="453" t="s">
        <v>108</v>
      </c>
      <c r="AM210" s="451">
        <v>248716.18884120882</v>
      </c>
      <c r="AN210" s="453" t="s">
        <v>108</v>
      </c>
      <c r="AO210" s="453">
        <v>16</v>
      </c>
      <c r="AP210" s="453">
        <v>16</v>
      </c>
      <c r="AQ210" s="458">
        <v>4.6810688219705153E-2</v>
      </c>
      <c r="AS210" s="459" t="s">
        <v>104</v>
      </c>
      <c r="AT210" s="453" t="s">
        <v>109</v>
      </c>
      <c r="AU210" s="464" t="s">
        <v>504</v>
      </c>
      <c r="AV210" s="460" t="s">
        <v>36</v>
      </c>
      <c r="AW210" s="453" t="s">
        <v>1431</v>
      </c>
      <c r="AY210" s="460"/>
      <c r="BA210" s="464" t="str">
        <f>_xlfn.XLOOKUP(B210,'School List from APT'!A:A,'School List from APT'!C:C,"",FALSE)</f>
        <v>Cardinal Wiseman Catholic School</v>
      </c>
    </row>
    <row r="211" spans="1:53" x14ac:dyDescent="0.25">
      <c r="A211" s="453" t="s">
        <v>506</v>
      </c>
      <c r="B211" s="453">
        <v>5416</v>
      </c>
      <c r="C211" s="453">
        <v>5416</v>
      </c>
      <c r="D211" s="453" t="s">
        <v>507</v>
      </c>
      <c r="F211" s="454" t="s">
        <v>501</v>
      </c>
      <c r="G211" s="454" t="s">
        <v>107</v>
      </c>
      <c r="H211" s="451">
        <v>504805.72688682564</v>
      </c>
      <c r="I211" s="451">
        <v>3.113174345344305E-3</v>
      </c>
      <c r="J211" s="455">
        <v>504805.73</v>
      </c>
      <c r="K211" s="451">
        <v>7231558.6478960281</v>
      </c>
      <c r="L211" s="451">
        <v>771506.13</v>
      </c>
      <c r="M211" s="451"/>
      <c r="N211" s="451">
        <v>8003064.777896028</v>
      </c>
      <c r="O211" s="451">
        <v>64393.507249999995</v>
      </c>
      <c r="P211" s="451">
        <v>0</v>
      </c>
      <c r="Q211" s="451">
        <v>0</v>
      </c>
      <c r="R211" s="451">
        <v>4326</v>
      </c>
      <c r="S211" s="451">
        <v>68719.507249999995</v>
      </c>
      <c r="T211" s="451">
        <v>8071784.2851460278</v>
      </c>
      <c r="U211" s="451">
        <v>0</v>
      </c>
      <c r="V211" s="451">
        <v>8576590.0151460283</v>
      </c>
      <c r="W211" s="451">
        <v>7939780.54</v>
      </c>
      <c r="X211" s="451">
        <v>0</v>
      </c>
      <c r="Y211" s="451"/>
      <c r="Z211" s="451"/>
      <c r="AA211" s="493"/>
      <c r="AB211" s="451">
        <v>7939780.54</v>
      </c>
      <c r="AC211" s="451">
        <v>636809.47514602821</v>
      </c>
      <c r="AD211" s="451">
        <v>0</v>
      </c>
      <c r="AE211" s="457">
        <v>636809.47514602821</v>
      </c>
      <c r="AF211" s="451">
        <v>132003.74514602823</v>
      </c>
      <c r="AG211" s="451">
        <v>504805.73</v>
      </c>
      <c r="AH211" s="451">
        <v>0</v>
      </c>
      <c r="AI211" s="451">
        <v>0</v>
      </c>
      <c r="AJ211" s="451">
        <v>0</v>
      </c>
      <c r="AK211" s="462"/>
      <c r="AL211" s="453" t="s">
        <v>108</v>
      </c>
      <c r="AM211" s="451">
        <v>636809.47514602821</v>
      </c>
      <c r="AN211" s="453" t="s">
        <v>108</v>
      </c>
      <c r="AO211" s="453">
        <v>10</v>
      </c>
      <c r="AP211" s="453">
        <v>13</v>
      </c>
      <c r="AQ211" s="458">
        <v>7.8893272249347238E-2</v>
      </c>
      <c r="AS211" s="459" t="s">
        <v>104</v>
      </c>
      <c r="AT211" s="453" t="s">
        <v>109</v>
      </c>
      <c r="AU211" s="464" t="s">
        <v>506</v>
      </c>
      <c r="AV211" s="460" t="s">
        <v>36</v>
      </c>
      <c r="AW211" s="453" t="s">
        <v>1431</v>
      </c>
      <c r="AY211" s="460"/>
      <c r="BA211" s="464" t="str">
        <f>_xlfn.XLOOKUP(B211,'School List from APT'!A:A,'School List from APT'!C:C,"",FALSE)</f>
        <v>Colmers School and Sixth Form College</v>
      </c>
    </row>
    <row r="212" spans="1:53" x14ac:dyDescent="0.25">
      <c r="A212" s="453" t="s">
        <v>508</v>
      </c>
      <c r="B212" s="453">
        <v>4201</v>
      </c>
      <c r="C212" s="453">
        <v>4201</v>
      </c>
      <c r="D212" s="453" t="s">
        <v>509</v>
      </c>
      <c r="F212" s="454" t="s">
        <v>501</v>
      </c>
      <c r="G212" s="454" t="s">
        <v>107</v>
      </c>
      <c r="H212" s="451">
        <v>2567618.8250351381</v>
      </c>
      <c r="I212" s="451">
        <v>19207.994964861777</v>
      </c>
      <c r="J212" s="455">
        <v>2586826.8199999998</v>
      </c>
      <c r="K212" s="451">
        <v>7771536.524702481</v>
      </c>
      <c r="L212" s="451">
        <v>716747.44</v>
      </c>
      <c r="M212" s="451"/>
      <c r="N212" s="451">
        <v>8488283.9647024814</v>
      </c>
      <c r="O212" s="451">
        <v>11559.325511904763</v>
      </c>
      <c r="P212" s="451">
        <v>0</v>
      </c>
      <c r="Q212" s="451">
        <v>0</v>
      </c>
      <c r="R212" s="451">
        <v>0</v>
      </c>
      <c r="S212" s="451">
        <v>11559.325511904763</v>
      </c>
      <c r="T212" s="451">
        <v>8499843.2902143858</v>
      </c>
      <c r="U212" s="451">
        <v>0</v>
      </c>
      <c r="V212" s="451">
        <v>11086670.110214386</v>
      </c>
      <c r="W212" s="451">
        <v>9132174.8200000003</v>
      </c>
      <c r="X212" s="451">
        <v>0</v>
      </c>
      <c r="Y212" s="451"/>
      <c r="Z212" s="451"/>
      <c r="AA212" s="456"/>
      <c r="AB212" s="451">
        <v>9132174.8200000003</v>
      </c>
      <c r="AC212" s="451">
        <v>1954495.2902143858</v>
      </c>
      <c r="AD212" s="451">
        <v>0</v>
      </c>
      <c r="AE212" s="457">
        <v>1954495.2902143858</v>
      </c>
      <c r="AF212" s="451">
        <v>-632331.529785614</v>
      </c>
      <c r="AG212" s="451">
        <v>2586826.8199999998</v>
      </c>
      <c r="AH212" s="451">
        <v>0</v>
      </c>
      <c r="AI212" s="451">
        <v>0</v>
      </c>
      <c r="AJ212" s="451">
        <v>0</v>
      </c>
      <c r="AK212" s="462"/>
      <c r="AL212" s="453" t="s">
        <v>108</v>
      </c>
      <c r="AM212" s="451">
        <v>1954495.2902143858</v>
      </c>
      <c r="AN212" s="453" t="s">
        <v>108</v>
      </c>
      <c r="AO212" s="453">
        <v>5</v>
      </c>
      <c r="AP212" s="453">
        <v>8</v>
      </c>
      <c r="AQ212" s="458">
        <v>0.22994486174404385</v>
      </c>
      <c r="AS212" s="459" t="s">
        <v>104</v>
      </c>
      <c r="AT212" s="453" t="s">
        <v>109</v>
      </c>
      <c r="AU212" s="464" t="s">
        <v>508</v>
      </c>
      <c r="AV212" s="460" t="s">
        <v>36</v>
      </c>
      <c r="AW212" s="453" t="s">
        <v>1431</v>
      </c>
      <c r="AY212" s="460"/>
      <c r="BA212" s="464" t="str">
        <f>_xlfn.XLOOKUP(B212,'School List from APT'!A:A,'School List from APT'!C:C,"",FALSE)</f>
        <v>Hodge Hill College</v>
      </c>
    </row>
    <row r="213" spans="1:53" x14ac:dyDescent="0.25">
      <c r="A213" s="453" t="s">
        <v>510</v>
      </c>
      <c r="B213" s="453">
        <v>4015</v>
      </c>
      <c r="C213" s="453">
        <v>4015</v>
      </c>
      <c r="D213" s="453" t="s">
        <v>511</v>
      </c>
      <c r="F213" s="454" t="s">
        <v>501</v>
      </c>
      <c r="G213" s="454" t="s">
        <v>107</v>
      </c>
      <c r="H213" s="451">
        <v>1634271.4428791068</v>
      </c>
      <c r="I213" s="451">
        <v>-2.8791069053113461E-3</v>
      </c>
      <c r="J213" s="455">
        <v>1634271.44</v>
      </c>
      <c r="K213" s="451">
        <v>4639550.2438024795</v>
      </c>
      <c r="L213" s="451">
        <v>410935.625</v>
      </c>
      <c r="M213" s="451"/>
      <c r="N213" s="451">
        <v>5050485.8688024795</v>
      </c>
      <c r="O213" s="451">
        <v>64119.555583333335</v>
      </c>
      <c r="P213" s="451">
        <v>0</v>
      </c>
      <c r="Q213" s="451">
        <v>0</v>
      </c>
      <c r="R213" s="451">
        <v>0</v>
      </c>
      <c r="S213" s="451">
        <v>64119.555583333335</v>
      </c>
      <c r="T213" s="451">
        <v>5114605.4243858131</v>
      </c>
      <c r="U213" s="451">
        <v>0</v>
      </c>
      <c r="V213" s="451">
        <v>6748876.8643858135</v>
      </c>
      <c r="W213" s="451">
        <v>5469746.7999999998</v>
      </c>
      <c r="X213" s="451">
        <v>0</v>
      </c>
      <c r="Y213" s="451"/>
      <c r="Z213" s="451"/>
      <c r="AA213" s="456"/>
      <c r="AB213" s="451">
        <v>5469746.7999999998</v>
      </c>
      <c r="AC213" s="451">
        <v>1279130.0643858137</v>
      </c>
      <c r="AD213" s="451">
        <v>0</v>
      </c>
      <c r="AE213" s="457">
        <v>1279130.0643858137</v>
      </c>
      <c r="AF213" s="451">
        <v>-355141.37561418628</v>
      </c>
      <c r="AG213" s="451">
        <v>1634271.44</v>
      </c>
      <c r="AH213" s="451">
        <v>0</v>
      </c>
      <c r="AI213" s="451">
        <v>0</v>
      </c>
      <c r="AJ213" s="451">
        <v>0</v>
      </c>
      <c r="AK213" s="462"/>
      <c r="AL213" s="453" t="s">
        <v>108</v>
      </c>
      <c r="AM213" s="451">
        <v>1279130.0643858137</v>
      </c>
      <c r="AN213" s="453" t="s">
        <v>108</v>
      </c>
      <c r="AO213" s="453">
        <v>6</v>
      </c>
      <c r="AP213" s="453">
        <v>6</v>
      </c>
      <c r="AQ213" s="458">
        <v>0.25009359632848271</v>
      </c>
      <c r="AS213" s="459" t="s">
        <v>104</v>
      </c>
      <c r="AT213" s="453" t="s">
        <v>109</v>
      </c>
      <c r="AU213" s="464" t="s">
        <v>510</v>
      </c>
      <c r="AV213" s="460" t="s">
        <v>36</v>
      </c>
      <c r="AW213" s="453" t="s">
        <v>1431</v>
      </c>
      <c r="AY213" s="460"/>
      <c r="BA213" s="464" t="str">
        <f>_xlfn.XLOOKUP(B213,'School List from APT'!A:A,'School List from APT'!C:C,"",FALSE)</f>
        <v>Hodge Hill Girls' School</v>
      </c>
    </row>
    <row r="214" spans="1:53" x14ac:dyDescent="0.25">
      <c r="A214" s="453" t="s">
        <v>512</v>
      </c>
      <c r="B214" s="453">
        <v>4223</v>
      </c>
      <c r="C214" s="453">
        <v>4223</v>
      </c>
      <c r="D214" s="453" t="s">
        <v>513</v>
      </c>
      <c r="F214" s="454" t="s">
        <v>501</v>
      </c>
      <c r="G214" s="454" t="s">
        <v>107</v>
      </c>
      <c r="H214" s="451">
        <v>5282073.3376206886</v>
      </c>
      <c r="I214" s="451">
        <v>4.2379311285912991E-2</v>
      </c>
      <c r="J214" s="455">
        <v>5282073.38</v>
      </c>
      <c r="K214" s="451">
        <v>8312688.8898104532</v>
      </c>
      <c r="L214" s="451">
        <v>925477.21499999997</v>
      </c>
      <c r="M214" s="451"/>
      <c r="N214" s="451">
        <v>9238166.104810454</v>
      </c>
      <c r="O214" s="451">
        <v>105322.98974999999</v>
      </c>
      <c r="P214" s="451">
        <v>0</v>
      </c>
      <c r="Q214" s="451">
        <v>0</v>
      </c>
      <c r="R214" s="451">
        <v>20536</v>
      </c>
      <c r="S214" s="451">
        <v>125858.98974999999</v>
      </c>
      <c r="T214" s="451">
        <v>9364025.0945604537</v>
      </c>
      <c r="U214" s="451">
        <v>0</v>
      </c>
      <c r="V214" s="451">
        <v>14646098.474560454</v>
      </c>
      <c r="W214" s="451">
        <v>9498636.1699999999</v>
      </c>
      <c r="X214" s="451">
        <v>0</v>
      </c>
      <c r="Y214" s="451"/>
      <c r="Z214" s="451"/>
      <c r="AA214" s="456"/>
      <c r="AB214" s="451">
        <v>9498636.1699999999</v>
      </c>
      <c r="AC214" s="451">
        <v>5147462.3045604546</v>
      </c>
      <c r="AD214" s="451">
        <v>0</v>
      </c>
      <c r="AE214" s="457">
        <v>5147462.3045604546</v>
      </c>
      <c r="AF214" s="451">
        <v>-134611.07543954533</v>
      </c>
      <c r="AG214" s="451">
        <v>5282073.38</v>
      </c>
      <c r="AH214" s="451">
        <v>0</v>
      </c>
      <c r="AI214" s="451">
        <v>0</v>
      </c>
      <c r="AJ214" s="451">
        <v>0</v>
      </c>
      <c r="AK214" s="462"/>
      <c r="AL214" s="453" t="s">
        <v>108</v>
      </c>
      <c r="AM214" s="451">
        <v>5147462.3045604546</v>
      </c>
      <c r="AN214" s="453" t="s">
        <v>108</v>
      </c>
      <c r="AO214" s="453">
        <v>1</v>
      </c>
      <c r="AP214" s="453">
        <v>2</v>
      </c>
      <c r="AQ214" s="458">
        <v>0.54970616295663344</v>
      </c>
      <c r="AS214" s="459" t="s">
        <v>104</v>
      </c>
      <c r="AT214" s="453" t="s">
        <v>109</v>
      </c>
      <c r="AU214" s="464" t="s">
        <v>512</v>
      </c>
      <c r="AV214" s="460" t="s">
        <v>36</v>
      </c>
      <c r="AW214" s="453" t="s">
        <v>1431</v>
      </c>
      <c r="AY214" s="460"/>
      <c r="BA214" s="464" t="str">
        <f>_xlfn.XLOOKUP(B214,'School List from APT'!A:A,'School List from APT'!C:C,"",FALSE)</f>
        <v>Holte School</v>
      </c>
    </row>
    <row r="215" spans="1:53" x14ac:dyDescent="0.25">
      <c r="A215" s="453" t="s">
        <v>514</v>
      </c>
      <c r="B215" s="453">
        <v>4063</v>
      </c>
      <c r="C215" s="453">
        <v>4063</v>
      </c>
      <c r="D215" s="453" t="s">
        <v>515</v>
      </c>
      <c r="F215" s="454" t="s">
        <v>501</v>
      </c>
      <c r="G215" s="454" t="s">
        <v>36</v>
      </c>
      <c r="H215" s="451">
        <v>659533.54978987167</v>
      </c>
      <c r="I215" s="451">
        <v>0</v>
      </c>
      <c r="J215" s="455">
        <v>659533.54978987167</v>
      </c>
      <c r="K215" s="451">
        <v>4750169.550153601</v>
      </c>
      <c r="L215" s="451">
        <v>457277.125</v>
      </c>
      <c r="M215" s="451"/>
      <c r="N215" s="451">
        <v>5207446.675153601</v>
      </c>
      <c r="O215" s="451">
        <v>26241.751250000001</v>
      </c>
      <c r="P215" s="451">
        <v>123312</v>
      </c>
      <c r="Q215" s="451">
        <v>0</v>
      </c>
      <c r="R215" s="451">
        <v>0</v>
      </c>
      <c r="S215" s="451">
        <v>149553.75125</v>
      </c>
      <c r="T215" s="451">
        <v>5357000.4264036007</v>
      </c>
      <c r="U215" s="451">
        <v>0</v>
      </c>
      <c r="V215" s="451">
        <v>6016533.9761934727</v>
      </c>
      <c r="W215" s="451">
        <v>5286354.49</v>
      </c>
      <c r="X215" s="451">
        <v>-15654</v>
      </c>
      <c r="Y215" s="451"/>
      <c r="Z215" s="451"/>
      <c r="AA215" s="456"/>
      <c r="AB215" s="451">
        <v>5270700.49</v>
      </c>
      <c r="AC215" s="451">
        <v>745833.48619347252</v>
      </c>
      <c r="AD215" s="451">
        <v>923.34696970582036</v>
      </c>
      <c r="AE215" s="457">
        <v>746756.83316317829</v>
      </c>
      <c r="AF215" s="451">
        <v>87223.283373306622</v>
      </c>
      <c r="AG215" s="451">
        <v>659533.54978987167</v>
      </c>
      <c r="AH215" s="451">
        <v>659533.54978987167</v>
      </c>
      <c r="AI215" s="451">
        <v>260372.33375768005</v>
      </c>
      <c r="AJ215" s="451">
        <v>923.34696970582036</v>
      </c>
      <c r="AK215" s="462"/>
      <c r="AL215" s="453" t="s">
        <v>108</v>
      </c>
      <c r="AM215" s="451">
        <v>746756.83316317829</v>
      </c>
      <c r="AN215" s="453" t="s">
        <v>108</v>
      </c>
      <c r="AO215" s="453">
        <v>9</v>
      </c>
      <c r="AP215" s="453">
        <v>10</v>
      </c>
      <c r="AQ215" s="458">
        <v>0.13939831505007183</v>
      </c>
      <c r="AS215" s="459" t="s">
        <v>104</v>
      </c>
      <c r="AT215" s="453" t="s">
        <v>104</v>
      </c>
      <c r="AU215" s="464" t="s">
        <v>514</v>
      </c>
      <c r="AV215" s="460" t="s">
        <v>36</v>
      </c>
      <c r="AW215" s="453" t="s">
        <v>1430</v>
      </c>
      <c r="AY215" s="460"/>
      <c r="BA215" s="464" t="str">
        <f>_xlfn.XLOOKUP(B215,'School List from APT'!A:A,'School List from APT'!C:C,"",FALSE)</f>
        <v>Kings Heath Boys</v>
      </c>
    </row>
    <row r="216" spans="1:53" x14ac:dyDescent="0.25">
      <c r="A216" s="453" t="s">
        <v>516</v>
      </c>
      <c r="B216" s="453">
        <v>5415</v>
      </c>
      <c r="C216" s="453">
        <v>5415</v>
      </c>
      <c r="D216" s="453" t="s">
        <v>517</v>
      </c>
      <c r="F216" s="454" t="s">
        <v>501</v>
      </c>
      <c r="G216" s="454" t="s">
        <v>36</v>
      </c>
      <c r="H216" s="451">
        <v>173841.06437189152</v>
      </c>
      <c r="I216" s="451">
        <v>0</v>
      </c>
      <c r="J216" s="455">
        <v>173841.06437189152</v>
      </c>
      <c r="K216" s="451">
        <v>4258215.9961757325</v>
      </c>
      <c r="L216" s="451">
        <v>299304.64</v>
      </c>
      <c r="M216" s="451"/>
      <c r="N216" s="451">
        <v>4557520.6361757321</v>
      </c>
      <c r="O216" s="451">
        <v>49742.389667114723</v>
      </c>
      <c r="P216" s="451">
        <v>137258</v>
      </c>
      <c r="Q216" s="451">
        <v>0</v>
      </c>
      <c r="R216" s="451">
        <v>0</v>
      </c>
      <c r="S216" s="451">
        <v>187000.38966711471</v>
      </c>
      <c r="T216" s="451">
        <v>4744521.0258428473</v>
      </c>
      <c r="U216" s="451">
        <v>0</v>
      </c>
      <c r="V216" s="451">
        <v>4918362.0902147386</v>
      </c>
      <c r="W216" s="451">
        <v>4524311.38</v>
      </c>
      <c r="X216" s="451">
        <v>-14782.13</v>
      </c>
      <c r="Y216" s="451"/>
      <c r="Z216" s="451"/>
      <c r="AA216" s="493"/>
      <c r="AB216" s="451">
        <v>4509529.25</v>
      </c>
      <c r="AC216" s="451">
        <v>408832.84021473862</v>
      </c>
      <c r="AD216" s="451">
        <v>243.37749012064813</v>
      </c>
      <c r="AE216" s="457">
        <v>409076.21770485927</v>
      </c>
      <c r="AF216" s="451">
        <v>235235.15333296775</v>
      </c>
      <c r="AG216" s="451">
        <v>173841.06437189152</v>
      </c>
      <c r="AH216" s="451">
        <v>173841.06437189152</v>
      </c>
      <c r="AI216" s="451">
        <v>227876.03180878662</v>
      </c>
      <c r="AJ216" s="451">
        <v>243.37749012064813</v>
      </c>
      <c r="AK216" s="462"/>
      <c r="AL216" s="453" t="s">
        <v>108</v>
      </c>
      <c r="AM216" s="451">
        <v>409076.21770485927</v>
      </c>
      <c r="AN216" s="453" t="s">
        <v>108</v>
      </c>
      <c r="AO216" s="453">
        <v>15</v>
      </c>
      <c r="AP216" s="453">
        <v>12</v>
      </c>
      <c r="AQ216" s="458">
        <v>8.6220761901289786E-2</v>
      </c>
      <c r="AS216" s="459" t="s">
        <v>104</v>
      </c>
      <c r="AT216" s="453" t="s">
        <v>104</v>
      </c>
      <c r="AU216" s="464" t="s">
        <v>516</v>
      </c>
      <c r="AV216" s="460" t="s">
        <v>36</v>
      </c>
      <c r="AW216" s="453" t="s">
        <v>1430</v>
      </c>
      <c r="AY216" s="460"/>
      <c r="BA216" s="464" t="str">
        <f>_xlfn.XLOOKUP(B216,'School List from APT'!A:A,'School List from APT'!C:C,"",FALSE)</f>
        <v>King's Norton Boys' School</v>
      </c>
    </row>
    <row r="217" spans="1:53" x14ac:dyDescent="0.25">
      <c r="A217" s="453" t="s">
        <v>518</v>
      </c>
      <c r="B217" s="453">
        <v>4245</v>
      </c>
      <c r="C217" s="453">
        <v>4245</v>
      </c>
      <c r="D217" s="453" t="s">
        <v>519</v>
      </c>
      <c r="F217" s="454" t="s">
        <v>501</v>
      </c>
      <c r="G217" s="454" t="s">
        <v>107</v>
      </c>
      <c r="H217" s="451">
        <v>2839644.3998699002</v>
      </c>
      <c r="I217" s="451">
        <v>1.3009971007704735E-4</v>
      </c>
      <c r="J217" s="455">
        <v>2839644.4</v>
      </c>
      <c r="K217" s="451">
        <v>9354853.7689531296</v>
      </c>
      <c r="L217" s="451">
        <v>865639.14500000002</v>
      </c>
      <c r="M217" s="451"/>
      <c r="N217" s="451">
        <v>10220492.913953129</v>
      </c>
      <c r="O217" s="451">
        <v>14506.982083333336</v>
      </c>
      <c r="P217" s="451">
        <v>0</v>
      </c>
      <c r="Q217" s="451">
        <v>0</v>
      </c>
      <c r="R217" s="451">
        <v>106830</v>
      </c>
      <c r="S217" s="451">
        <v>121336.98208333334</v>
      </c>
      <c r="T217" s="451">
        <v>10341829.896036463</v>
      </c>
      <c r="U217" s="451">
        <v>0</v>
      </c>
      <c r="V217" s="451">
        <v>13181474.296036463</v>
      </c>
      <c r="W217" s="451">
        <v>9709019.8800000008</v>
      </c>
      <c r="X217" s="451">
        <v>0</v>
      </c>
      <c r="Y217" s="451"/>
      <c r="Z217" s="451"/>
      <c r="AA217" s="456"/>
      <c r="AB217" s="451">
        <v>9709019.8800000008</v>
      </c>
      <c r="AC217" s="451">
        <v>3472454.4160364624</v>
      </c>
      <c r="AD217" s="451">
        <v>0</v>
      </c>
      <c r="AE217" s="457">
        <v>3472454.4160364624</v>
      </c>
      <c r="AF217" s="451">
        <v>632810.0160364625</v>
      </c>
      <c r="AG217" s="451">
        <v>2839644.4</v>
      </c>
      <c r="AH217" s="451">
        <v>0</v>
      </c>
      <c r="AI217" s="451">
        <v>0</v>
      </c>
      <c r="AJ217" s="451">
        <v>0</v>
      </c>
      <c r="AK217" s="462"/>
      <c r="AL217" s="453" t="s">
        <v>108</v>
      </c>
      <c r="AM217" s="451">
        <v>3472454.4160364624</v>
      </c>
      <c r="AN217" s="453" t="s">
        <v>108</v>
      </c>
      <c r="AO217" s="453">
        <v>2</v>
      </c>
      <c r="AP217" s="453">
        <v>3</v>
      </c>
      <c r="AQ217" s="458">
        <v>0.33576789126722062</v>
      </c>
      <c r="AS217" s="459" t="s">
        <v>104</v>
      </c>
      <c r="AT217" s="453" t="s">
        <v>109</v>
      </c>
      <c r="AU217" s="464" t="s">
        <v>518</v>
      </c>
      <c r="AV217" s="460" t="s">
        <v>36</v>
      </c>
      <c r="AW217" s="453" t="s">
        <v>1431</v>
      </c>
      <c r="AY217" s="460"/>
      <c r="BA217" s="464" t="str">
        <f>_xlfn.XLOOKUP(B217,'School List from APT'!A:A,'School List from APT'!C:C,"",FALSE)</f>
        <v>Moseley School and Sixth Form</v>
      </c>
    </row>
    <row r="218" spans="1:53" x14ac:dyDescent="0.25">
      <c r="A218" s="453" t="s">
        <v>520</v>
      </c>
      <c r="B218" s="453">
        <v>4173</v>
      </c>
      <c r="C218" s="453">
        <v>4173</v>
      </c>
      <c r="D218" s="453" t="s">
        <v>521</v>
      </c>
      <c r="F218" s="454" t="s">
        <v>501</v>
      </c>
      <c r="G218" s="454" t="s">
        <v>107</v>
      </c>
      <c r="H218" s="451">
        <v>1114297.2239647731</v>
      </c>
      <c r="I218" s="451">
        <v>-3.9647731464356184E-3</v>
      </c>
      <c r="J218" s="455">
        <v>1114297.22</v>
      </c>
      <c r="K218" s="451">
        <v>5727904.2623597374</v>
      </c>
      <c r="L218" s="451">
        <v>439933.125</v>
      </c>
      <c r="M218" s="451"/>
      <c r="N218" s="451">
        <v>6167837.3873597374</v>
      </c>
      <c r="O218" s="451">
        <v>125512.94450000001</v>
      </c>
      <c r="P218" s="451">
        <v>0</v>
      </c>
      <c r="Q218" s="451">
        <v>0</v>
      </c>
      <c r="R218" s="451">
        <v>0</v>
      </c>
      <c r="S218" s="451">
        <v>125512.94450000001</v>
      </c>
      <c r="T218" s="451">
        <v>6293350.3318597376</v>
      </c>
      <c r="U218" s="451">
        <v>0</v>
      </c>
      <c r="V218" s="451">
        <v>7407647.5518597374</v>
      </c>
      <c r="W218" s="451">
        <v>6558962.7400000002</v>
      </c>
      <c r="X218" s="451">
        <v>0</v>
      </c>
      <c r="Y218" s="451"/>
      <c r="Z218" s="451"/>
      <c r="AA218" s="456"/>
      <c r="AB218" s="451">
        <v>6558962.7400000002</v>
      </c>
      <c r="AC218" s="451">
        <v>848684.81185973715</v>
      </c>
      <c r="AD218" s="451">
        <v>0</v>
      </c>
      <c r="AE218" s="457">
        <v>848684.81185973715</v>
      </c>
      <c r="AF218" s="451">
        <v>-265612.40814026282</v>
      </c>
      <c r="AG218" s="451">
        <v>1114297.22</v>
      </c>
      <c r="AH218" s="451">
        <v>0</v>
      </c>
      <c r="AI218" s="451">
        <v>0</v>
      </c>
      <c r="AJ218" s="451">
        <v>0</v>
      </c>
      <c r="AK218" s="462"/>
      <c r="AL218" s="453" t="s">
        <v>108</v>
      </c>
      <c r="AM218" s="451">
        <v>848684.81185973715</v>
      </c>
      <c r="AN218" s="453" t="s">
        <v>108</v>
      </c>
      <c r="AO218" s="453">
        <v>7</v>
      </c>
      <c r="AP218" s="453">
        <v>11</v>
      </c>
      <c r="AQ218" s="458">
        <v>0.13485421390945254</v>
      </c>
      <c r="AS218" s="459" t="s">
        <v>104</v>
      </c>
      <c r="AT218" s="453" t="s">
        <v>109</v>
      </c>
      <c r="AU218" s="464" t="s">
        <v>520</v>
      </c>
      <c r="AV218" s="460" t="s">
        <v>36</v>
      </c>
      <c r="AW218" s="453" t="s">
        <v>1431</v>
      </c>
      <c r="AY218" s="460"/>
      <c r="BA218" s="464" t="str">
        <f>_xlfn.XLOOKUP(B218,'School List from APT'!A:A,'School List from APT'!C:C,"",FALSE)</f>
        <v>Queensbridge School</v>
      </c>
    </row>
    <row r="219" spans="1:53" x14ac:dyDescent="0.25">
      <c r="A219" s="453" t="s">
        <v>522</v>
      </c>
      <c r="B219" s="453">
        <v>4177</v>
      </c>
      <c r="C219" s="453">
        <v>4177</v>
      </c>
      <c r="D219" s="453" t="s">
        <v>523</v>
      </c>
      <c r="F219" s="454" t="s">
        <v>501</v>
      </c>
      <c r="G219" s="454" t="s">
        <v>107</v>
      </c>
      <c r="H219" s="451">
        <v>853324.15789990406</v>
      </c>
      <c r="I219" s="451">
        <v>3200.7521000959678</v>
      </c>
      <c r="J219" s="455">
        <v>856524.91</v>
      </c>
      <c r="K219" s="451">
        <v>4905510.1751088947</v>
      </c>
      <c r="L219" s="451">
        <v>522062.625</v>
      </c>
      <c r="M219" s="451"/>
      <c r="N219" s="451">
        <v>5427572.8001088947</v>
      </c>
      <c r="O219" s="451">
        <v>17943.752583333335</v>
      </c>
      <c r="P219" s="451">
        <v>0</v>
      </c>
      <c r="Q219" s="451">
        <v>0</v>
      </c>
      <c r="R219" s="451">
        <v>0</v>
      </c>
      <c r="S219" s="451">
        <v>17943.752583333335</v>
      </c>
      <c r="T219" s="451">
        <v>5445516.552692228</v>
      </c>
      <c r="U219" s="451">
        <v>0</v>
      </c>
      <c r="V219" s="451">
        <v>6302041.4626922281</v>
      </c>
      <c r="W219" s="451">
        <v>5461758.1900000004</v>
      </c>
      <c r="X219" s="451">
        <v>0</v>
      </c>
      <c r="Y219" s="451"/>
      <c r="Z219" s="451"/>
      <c r="AA219" s="456"/>
      <c r="AB219" s="451">
        <v>5461758.1900000004</v>
      </c>
      <c r="AC219" s="451">
        <v>840283.27269222774</v>
      </c>
      <c r="AD219" s="451">
        <v>0</v>
      </c>
      <c r="AE219" s="457">
        <v>840283.27269222774</v>
      </c>
      <c r="AF219" s="451">
        <v>-16241.637307772296</v>
      </c>
      <c r="AG219" s="451">
        <v>856524.91</v>
      </c>
      <c r="AH219" s="451">
        <v>0</v>
      </c>
      <c r="AI219" s="451">
        <v>0</v>
      </c>
      <c r="AJ219" s="451">
        <v>0</v>
      </c>
      <c r="AK219" s="462"/>
      <c r="AL219" s="453" t="s">
        <v>108</v>
      </c>
      <c r="AM219" s="451">
        <v>840283.27269222774</v>
      </c>
      <c r="AN219" s="453" t="s">
        <v>108</v>
      </c>
      <c r="AO219" s="453">
        <v>8</v>
      </c>
      <c r="AP219" s="453">
        <v>9</v>
      </c>
      <c r="AQ219" s="458">
        <v>0.15430735809200638</v>
      </c>
      <c r="AS219" s="459" t="s">
        <v>104</v>
      </c>
      <c r="AT219" s="453" t="s">
        <v>109</v>
      </c>
      <c r="AU219" s="464" t="s">
        <v>522</v>
      </c>
      <c r="AV219" s="460" t="s">
        <v>36</v>
      </c>
      <c r="AW219" s="453" t="s">
        <v>1431</v>
      </c>
      <c r="AY219" s="460"/>
      <c r="BA219" s="464" t="str">
        <f>_xlfn.XLOOKUP(B219,'School List from APT'!A:A,'School List from APT'!C:C,"",FALSE)</f>
        <v>Selly Park  Girls' School</v>
      </c>
    </row>
    <row r="220" spans="1:53" x14ac:dyDescent="0.25">
      <c r="A220" s="453" t="s">
        <v>524</v>
      </c>
      <c r="B220" s="453">
        <v>4625</v>
      </c>
      <c r="C220" s="453">
        <v>4625</v>
      </c>
      <c r="D220" s="453" t="s">
        <v>525</v>
      </c>
      <c r="F220" s="454" t="s">
        <v>501</v>
      </c>
      <c r="G220" s="454" t="s">
        <v>36</v>
      </c>
      <c r="H220" s="451">
        <v>152824.14154281747</v>
      </c>
      <c r="I220" s="451">
        <v>0</v>
      </c>
      <c r="J220" s="455">
        <v>152824.14154281747</v>
      </c>
      <c r="K220" s="451">
        <v>4259093.2144404314</v>
      </c>
      <c r="L220" s="451">
        <v>402838.69</v>
      </c>
      <c r="M220" s="451"/>
      <c r="N220" s="451">
        <v>4661931.9044404319</v>
      </c>
      <c r="O220" s="451">
        <v>4800</v>
      </c>
      <c r="P220" s="451">
        <v>0</v>
      </c>
      <c r="Q220" s="451">
        <v>0</v>
      </c>
      <c r="R220" s="451">
        <v>0</v>
      </c>
      <c r="S220" s="451">
        <v>4800</v>
      </c>
      <c r="T220" s="451">
        <v>4666731.9044404319</v>
      </c>
      <c r="U220" s="451">
        <v>0</v>
      </c>
      <c r="V220" s="451">
        <v>4819556.0459832493</v>
      </c>
      <c r="W220" s="451">
        <v>4664130.87</v>
      </c>
      <c r="X220" s="451">
        <v>0</v>
      </c>
      <c r="Y220" s="451"/>
      <c r="Z220" s="451"/>
      <c r="AA220" s="456"/>
      <c r="AB220" s="451">
        <v>4664130.87</v>
      </c>
      <c r="AC220" s="451">
        <v>155425.17598324921</v>
      </c>
      <c r="AD220" s="451">
        <v>213.95379815994445</v>
      </c>
      <c r="AE220" s="457">
        <v>155639.12978140917</v>
      </c>
      <c r="AF220" s="451">
        <v>2814.9882385917008</v>
      </c>
      <c r="AG220" s="451">
        <v>152824.14154281747</v>
      </c>
      <c r="AH220" s="451">
        <v>152824.14154281747</v>
      </c>
      <c r="AI220" s="451">
        <v>233096.5952220216</v>
      </c>
      <c r="AJ220" s="451">
        <v>213.95379815994445</v>
      </c>
      <c r="AK220" s="462"/>
      <c r="AL220" s="453" t="s">
        <v>108</v>
      </c>
      <c r="AM220" s="451">
        <v>155639.12978140917</v>
      </c>
      <c r="AN220" s="453" t="s">
        <v>108</v>
      </c>
      <c r="AO220" s="453">
        <v>17</v>
      </c>
      <c r="AP220" s="453">
        <v>17</v>
      </c>
      <c r="AQ220" s="458">
        <v>3.3350775868079614E-2</v>
      </c>
      <c r="AS220" s="459" t="s">
        <v>104</v>
      </c>
      <c r="AT220" s="453" t="s">
        <v>104</v>
      </c>
      <c r="AU220" s="464" t="s">
        <v>524</v>
      </c>
      <c r="AV220" s="460" t="s">
        <v>36</v>
      </c>
      <c r="AW220" s="453" t="s">
        <v>1430</v>
      </c>
      <c r="AY220" s="460"/>
      <c r="BA220" s="464" t="str">
        <f>_xlfn.XLOOKUP(B220,'School List from APT'!A:A,'School List from APT'!C:C,"",FALSE)</f>
        <v>St John Wall Catholic School</v>
      </c>
    </row>
    <row r="221" spans="1:53" x14ac:dyDescent="0.25">
      <c r="A221" s="453" t="s">
        <v>526</v>
      </c>
      <c r="B221" s="453">
        <v>4606</v>
      </c>
      <c r="C221" s="453">
        <v>4606</v>
      </c>
      <c r="D221" s="453" t="s">
        <v>527</v>
      </c>
      <c r="F221" s="454" t="s">
        <v>501</v>
      </c>
      <c r="G221" s="454" t="s">
        <v>107</v>
      </c>
      <c r="H221" s="451">
        <v>494404.982129585</v>
      </c>
      <c r="I221" s="451">
        <v>0</v>
      </c>
      <c r="J221" s="455">
        <v>494404.982129585</v>
      </c>
      <c r="K221" s="451">
        <v>5755813.1471783919</v>
      </c>
      <c r="L221" s="451">
        <v>369982.875</v>
      </c>
      <c r="M221" s="451"/>
      <c r="N221" s="451">
        <v>6125796.0221783919</v>
      </c>
      <c r="O221" s="451">
        <v>24704.812690476192</v>
      </c>
      <c r="P221" s="451">
        <v>0</v>
      </c>
      <c r="Q221" s="451">
        <v>0</v>
      </c>
      <c r="R221" s="451">
        <v>9699</v>
      </c>
      <c r="S221" s="451">
        <v>34403.812690476188</v>
      </c>
      <c r="T221" s="451">
        <v>6160199.8348688679</v>
      </c>
      <c r="U221" s="451">
        <v>0</v>
      </c>
      <c r="V221" s="451">
        <v>6654604.8169984529</v>
      </c>
      <c r="W221" s="451">
        <v>6179120.5899999999</v>
      </c>
      <c r="X221" s="451">
        <v>0</v>
      </c>
      <c r="Y221" s="451"/>
      <c r="Z221" s="451"/>
      <c r="AA221" s="493"/>
      <c r="AB221" s="451">
        <v>6179120.5899999999</v>
      </c>
      <c r="AC221" s="451">
        <v>475484.22699845303</v>
      </c>
      <c r="AD221" s="451">
        <v>0</v>
      </c>
      <c r="AE221" s="457">
        <v>475484.22699845303</v>
      </c>
      <c r="AF221" s="451">
        <v>-18920.755131131969</v>
      </c>
      <c r="AG221" s="451">
        <v>494404.982129585</v>
      </c>
      <c r="AH221" s="451">
        <v>0</v>
      </c>
      <c r="AI221" s="451">
        <v>0</v>
      </c>
      <c r="AJ221" s="451">
        <v>0</v>
      </c>
      <c r="AK221" s="462"/>
      <c r="AL221" s="453" t="s">
        <v>108</v>
      </c>
      <c r="AM221" s="451">
        <v>475484.22699845303</v>
      </c>
      <c r="AN221" s="453" t="s">
        <v>108</v>
      </c>
      <c r="AO221" s="453">
        <v>14</v>
      </c>
      <c r="AP221" s="453">
        <v>14</v>
      </c>
      <c r="AQ221" s="458">
        <v>7.718649390350088E-2</v>
      </c>
      <c r="AS221" s="459" t="s">
        <v>104</v>
      </c>
      <c r="AT221" s="453" t="s">
        <v>109</v>
      </c>
      <c r="AU221" s="464" t="s">
        <v>526</v>
      </c>
      <c r="AV221" s="460" t="s">
        <v>36</v>
      </c>
      <c r="AW221" s="453" t="s">
        <v>1431</v>
      </c>
      <c r="AY221" s="460"/>
      <c r="BA221" s="464" t="str">
        <f>_xlfn.XLOOKUP(B221,'School List from APT'!A:A,'School List from APT'!C:C,"",FALSE)</f>
        <v>St Paul's School for Girls</v>
      </c>
    </row>
    <row r="222" spans="1:53" x14ac:dyDescent="0.25">
      <c r="A222" s="453" t="s">
        <v>528</v>
      </c>
      <c r="B222" s="453">
        <v>4237</v>
      </c>
      <c r="C222" s="453">
        <v>4237</v>
      </c>
      <c r="D222" s="453" t="s">
        <v>529</v>
      </c>
      <c r="F222" s="454" t="s">
        <v>501</v>
      </c>
      <c r="G222" s="454" t="s">
        <v>107</v>
      </c>
      <c r="H222" s="451">
        <v>2391338.949555669</v>
      </c>
      <c r="I222" s="451">
        <v>4.4433120638132095E-4</v>
      </c>
      <c r="J222" s="455">
        <v>2391338.9500000002</v>
      </c>
      <c r="K222" s="451">
        <v>11081137.364657408</v>
      </c>
      <c r="L222" s="451">
        <v>972300.375</v>
      </c>
      <c r="M222" s="451"/>
      <c r="N222" s="451">
        <v>12053437.739657408</v>
      </c>
      <c r="O222" s="451">
        <v>21044.53633333333</v>
      </c>
      <c r="P222" s="451">
        <v>0</v>
      </c>
      <c r="Q222" s="451">
        <v>0</v>
      </c>
      <c r="R222" s="451">
        <v>20054</v>
      </c>
      <c r="S222" s="451">
        <v>41098.53633333333</v>
      </c>
      <c r="T222" s="451">
        <v>12094536.275990741</v>
      </c>
      <c r="U222" s="451">
        <v>0</v>
      </c>
      <c r="V222" s="451">
        <v>14485875.225990742</v>
      </c>
      <c r="W222" s="451">
        <v>11465230.199999999</v>
      </c>
      <c r="X222" s="451">
        <v>0</v>
      </c>
      <c r="Y222" s="451"/>
      <c r="Z222" s="451"/>
      <c r="AA222" s="456"/>
      <c r="AB222" s="451">
        <v>11465230.199999999</v>
      </c>
      <c r="AC222" s="451">
        <v>3020645.0259907432</v>
      </c>
      <c r="AD222" s="451">
        <v>0</v>
      </c>
      <c r="AE222" s="457">
        <v>3020645.0259907432</v>
      </c>
      <c r="AF222" s="451">
        <v>629306.075990743</v>
      </c>
      <c r="AG222" s="451">
        <v>2391338.9500000002</v>
      </c>
      <c r="AH222" s="451">
        <v>0</v>
      </c>
      <c r="AI222" s="451">
        <v>0</v>
      </c>
      <c r="AJ222" s="451">
        <v>0</v>
      </c>
      <c r="AK222" s="462"/>
      <c r="AL222" s="453" t="s">
        <v>108</v>
      </c>
      <c r="AM222" s="451">
        <v>3020645.0259907432</v>
      </c>
      <c r="AN222" s="453" t="s">
        <v>108</v>
      </c>
      <c r="AO222" s="453">
        <v>3</v>
      </c>
      <c r="AP222" s="453">
        <v>7</v>
      </c>
      <c r="AQ222" s="458">
        <v>0.24975286005691047</v>
      </c>
      <c r="AS222" s="459" t="s">
        <v>104</v>
      </c>
      <c r="AT222" s="453" t="s">
        <v>109</v>
      </c>
      <c r="AU222" s="464" t="s">
        <v>528</v>
      </c>
      <c r="AV222" s="460" t="s">
        <v>36</v>
      </c>
      <c r="AW222" s="453" t="s">
        <v>1431</v>
      </c>
      <c r="AY222" s="460"/>
      <c r="BA222" s="464" t="str">
        <f>_xlfn.XLOOKUP(B222,'School List from APT'!A:A,'School List from APT'!C:C,"",FALSE)</f>
        <v>Swanshurst School</v>
      </c>
    </row>
    <row r="223" spans="1:53" x14ac:dyDescent="0.25">
      <c r="A223" s="453" t="s">
        <v>530</v>
      </c>
      <c r="B223" s="453">
        <v>4188</v>
      </c>
      <c r="C223" s="453">
        <v>4188</v>
      </c>
      <c r="D223" s="453" t="s">
        <v>531</v>
      </c>
      <c r="E223" s="453"/>
      <c r="F223" s="454" t="s">
        <v>857</v>
      </c>
      <c r="G223" s="454" t="s">
        <v>107</v>
      </c>
      <c r="H223" s="451">
        <v>493352.58359989524</v>
      </c>
      <c r="I223" s="451"/>
      <c r="J223" s="455">
        <v>493352.58359989524</v>
      </c>
      <c r="K223" s="451">
        <v>430944.21450200025</v>
      </c>
      <c r="L223" s="451">
        <v>95500</v>
      </c>
      <c r="M223" s="451"/>
      <c r="N223" s="451">
        <v>526444.21450200025</v>
      </c>
      <c r="O223" s="451">
        <v>0</v>
      </c>
      <c r="P223" s="451">
        <v>0</v>
      </c>
      <c r="Q223" s="451">
        <v>0</v>
      </c>
      <c r="R223" s="451">
        <v>0</v>
      </c>
      <c r="S223" s="451">
        <v>0</v>
      </c>
      <c r="T223" s="451">
        <v>526444.21450200025</v>
      </c>
      <c r="U223" s="451">
        <v>0</v>
      </c>
      <c r="V223" s="451">
        <v>1019796.7981018955</v>
      </c>
      <c r="W223" s="451">
        <v>506635.33</v>
      </c>
      <c r="X223" s="451">
        <v>0</v>
      </c>
      <c r="Y223" s="451"/>
      <c r="Z223" s="451"/>
      <c r="AA223" s="456"/>
      <c r="AB223" s="451">
        <v>506635.33</v>
      </c>
      <c r="AC223" s="451">
        <v>513161.46810189547</v>
      </c>
      <c r="AD223" s="451">
        <v>0</v>
      </c>
      <c r="AE223" s="457">
        <v>513161.46810189547</v>
      </c>
      <c r="AF223" s="451">
        <v>19808.884502000234</v>
      </c>
      <c r="AG223" s="451">
        <v>493352.58359989524</v>
      </c>
      <c r="AH223" s="451">
        <v>0</v>
      </c>
      <c r="AI223" s="451">
        <v>0</v>
      </c>
      <c r="AJ223" s="451">
        <v>0</v>
      </c>
      <c r="AK223" s="462"/>
      <c r="AL223" s="453" t="s">
        <v>1432</v>
      </c>
      <c r="AM223" s="451">
        <v>513161.46810189547</v>
      </c>
      <c r="AN223" s="453" t="s">
        <v>1432</v>
      </c>
      <c r="AO223" s="453">
        <v>12</v>
      </c>
      <c r="AP223" s="453">
        <v>1</v>
      </c>
      <c r="AQ223" s="458">
        <v>0.97476893840941947</v>
      </c>
      <c r="AR223" s="453"/>
      <c r="AS223" s="459" t="s">
        <v>104</v>
      </c>
      <c r="AT223" s="453" t="s">
        <v>109</v>
      </c>
      <c r="AU223" s="453" t="s">
        <v>530</v>
      </c>
      <c r="AV223" s="460" t="s">
        <v>36</v>
      </c>
      <c r="AW223" s="453" t="s">
        <v>1433</v>
      </c>
      <c r="AX223" s="453"/>
      <c r="AY223" s="453"/>
      <c r="BA223" s="464" t="str">
        <f>_xlfn.XLOOKUP(B223,'School List from APT'!A:A,'School List from APT'!C:C,"",FALSE)</f>
        <v/>
      </c>
    </row>
    <row r="224" spans="1:53" x14ac:dyDescent="0.25">
      <c r="A224" s="453" t="s">
        <v>532</v>
      </c>
      <c r="B224" s="453">
        <v>4187</v>
      </c>
      <c r="C224" s="453">
        <v>4187</v>
      </c>
      <c r="D224" s="453" t="s">
        <v>533</v>
      </c>
      <c r="E224" s="453"/>
      <c r="F224" s="454" t="s">
        <v>857</v>
      </c>
      <c r="G224" s="454" t="s">
        <v>36</v>
      </c>
      <c r="H224" s="451">
        <v>493673.59879130509</v>
      </c>
      <c r="I224" s="451">
        <v>0</v>
      </c>
      <c r="J224" s="455">
        <v>493673.59879130509</v>
      </c>
      <c r="K224" s="451">
        <v>1835899.1396849998</v>
      </c>
      <c r="L224" s="451">
        <v>170179.16666666666</v>
      </c>
      <c r="M224" s="451"/>
      <c r="N224" s="451">
        <v>2006078.3063516666</v>
      </c>
      <c r="O224" s="451">
        <v>6180.8240000000014</v>
      </c>
      <c r="P224" s="451">
        <v>0</v>
      </c>
      <c r="Q224" s="451">
        <v>0</v>
      </c>
      <c r="R224" s="451">
        <v>0</v>
      </c>
      <c r="S224" s="451">
        <v>6180.8240000000014</v>
      </c>
      <c r="T224" s="451">
        <v>2012259.1303516666</v>
      </c>
      <c r="U224" s="451">
        <v>0</v>
      </c>
      <c r="V224" s="451">
        <v>2505932.7291429718</v>
      </c>
      <c r="W224" s="451">
        <v>1913881.8</v>
      </c>
      <c r="X224" s="451">
        <v>-24544.9</v>
      </c>
      <c r="Y224" s="451"/>
      <c r="Z224" s="451"/>
      <c r="AA224" s="456"/>
      <c r="AB224" s="451">
        <v>1889336.9000000001</v>
      </c>
      <c r="AC224" s="451">
        <v>616595.82914297166</v>
      </c>
      <c r="AD224" s="451">
        <v>691.14303830782717</v>
      </c>
      <c r="AE224" s="457">
        <v>617286.97218127945</v>
      </c>
      <c r="AF224" s="451">
        <v>123613.37338997435</v>
      </c>
      <c r="AG224" s="451">
        <v>493673.59879130509</v>
      </c>
      <c r="AH224" s="451">
        <v>493673.59879130509</v>
      </c>
      <c r="AI224" s="451">
        <v>100303.91531758333</v>
      </c>
      <c r="AJ224" s="451">
        <v>691.14303830782717</v>
      </c>
      <c r="AK224" s="462"/>
      <c r="AL224" s="453" t="s">
        <v>1432</v>
      </c>
      <c r="AM224" s="451">
        <v>617286.97218127945</v>
      </c>
      <c r="AN224" s="453" t="s">
        <v>1432</v>
      </c>
      <c r="AO224" s="453">
        <v>11</v>
      </c>
      <c r="AP224" s="453">
        <v>4</v>
      </c>
      <c r="AQ224" s="458">
        <v>0.30676316129990722</v>
      </c>
      <c r="AR224" s="453"/>
      <c r="AS224" s="459" t="s">
        <v>104</v>
      </c>
      <c r="AT224" s="453" t="s">
        <v>104</v>
      </c>
      <c r="AU224" s="453" t="s">
        <v>532</v>
      </c>
      <c r="AV224" s="460" t="s">
        <v>36</v>
      </c>
      <c r="AW224" s="453" t="s">
        <v>1433</v>
      </c>
      <c r="AX224" s="453"/>
      <c r="AY224" s="453"/>
      <c r="BA224" s="464" t="str">
        <f>_xlfn.XLOOKUP(B224,'School List from APT'!A:A,'School List from APT'!C:C,"",FALSE)</f>
        <v>King Edward VI Northfield School for Girls</v>
      </c>
    </row>
    <row r="225" spans="1:53" x14ac:dyDescent="0.25">
      <c r="A225" s="453" t="s">
        <v>534</v>
      </c>
      <c r="B225" s="453">
        <v>4193</v>
      </c>
      <c r="C225" s="453">
        <v>4193</v>
      </c>
      <c r="D225" s="453" t="s">
        <v>535</v>
      </c>
      <c r="F225" s="454" t="s">
        <v>501</v>
      </c>
      <c r="G225" s="454" t="s">
        <v>107</v>
      </c>
      <c r="H225" s="451">
        <v>-108069.91597345844</v>
      </c>
      <c r="I225" s="451"/>
      <c r="J225" s="455">
        <v>-108069.91597345844</v>
      </c>
      <c r="K225" s="451">
        <v>4029687.6089034025</v>
      </c>
      <c r="L225" s="451">
        <v>316552</v>
      </c>
      <c r="M225" s="451"/>
      <c r="N225" s="451">
        <v>4346239.6089034025</v>
      </c>
      <c r="O225" s="451">
        <v>62424.494126392987</v>
      </c>
      <c r="P225" s="451">
        <v>0</v>
      </c>
      <c r="Q225" s="451">
        <v>0</v>
      </c>
      <c r="R225" s="451">
        <v>0</v>
      </c>
      <c r="S225" s="451">
        <v>62424.494126392987</v>
      </c>
      <c r="T225" s="451">
        <v>4408664.103029795</v>
      </c>
      <c r="U225" s="451">
        <v>0</v>
      </c>
      <c r="V225" s="451">
        <v>4300594.1870563366</v>
      </c>
      <c r="W225" s="451">
        <v>4273020.8600000003</v>
      </c>
      <c r="X225" s="451">
        <v>-15039</v>
      </c>
      <c r="Y225" s="451"/>
      <c r="Z225" s="451"/>
      <c r="AA225" s="456"/>
      <c r="AB225" s="451">
        <v>4257981.8600000003</v>
      </c>
      <c r="AC225" s="451">
        <v>42612.327056336217</v>
      </c>
      <c r="AD225" s="451">
        <v>0</v>
      </c>
      <c r="AE225" s="457">
        <v>42612.327056336217</v>
      </c>
      <c r="AF225" s="451">
        <v>150682.24302979466</v>
      </c>
      <c r="AG225" s="451">
        <v>-108069.91597345844</v>
      </c>
      <c r="AH225" s="451">
        <v>0</v>
      </c>
      <c r="AI225" s="451">
        <v>0</v>
      </c>
      <c r="AJ225" s="451">
        <v>0</v>
      </c>
      <c r="AK225" s="462"/>
      <c r="AL225" s="453" t="s">
        <v>108</v>
      </c>
      <c r="AM225" s="451">
        <v>42612.327056336217</v>
      </c>
      <c r="AN225" s="453" t="s">
        <v>108</v>
      </c>
      <c r="AO225" s="453">
        <v>18</v>
      </c>
      <c r="AP225" s="453">
        <v>18</v>
      </c>
      <c r="AQ225" s="458">
        <v>9.6655871394356104E-3</v>
      </c>
      <c r="AS225" s="459" t="s">
        <v>104</v>
      </c>
      <c r="AT225" s="453" t="s">
        <v>109</v>
      </c>
      <c r="AU225" s="464" t="s">
        <v>534</v>
      </c>
      <c r="AV225" s="460" t="s">
        <v>36</v>
      </c>
      <c r="AW225" s="453" t="s">
        <v>1430</v>
      </c>
      <c r="AY225" s="460"/>
      <c r="BA225" s="464" t="str">
        <f>_xlfn.XLOOKUP(B225,'School List from APT'!A:A,'School List from APT'!C:C,"",FALSE)</f>
        <v>Wheelers Lane Technology College</v>
      </c>
    </row>
    <row r="226" spans="1:53" x14ac:dyDescent="0.25">
      <c r="G226" s="454" t="s">
        <v>36</v>
      </c>
      <c r="H226" s="451" t="s">
        <v>36</v>
      </c>
      <c r="I226" s="451"/>
      <c r="J226" s="455">
        <v>0</v>
      </c>
      <c r="K226" s="451"/>
      <c r="L226" s="451"/>
      <c r="M226" s="451"/>
      <c r="N226" s="451"/>
      <c r="O226" s="451"/>
      <c r="P226" s="451"/>
      <c r="Q226" s="451"/>
      <c r="R226" s="451"/>
      <c r="S226" s="451"/>
      <c r="T226" s="451"/>
      <c r="U226" s="451"/>
      <c r="V226" s="451"/>
      <c r="W226" s="451">
        <v>0</v>
      </c>
      <c r="X226" s="451">
        <v>0</v>
      </c>
      <c r="Y226" s="451"/>
      <c r="Z226" s="451"/>
      <c r="AA226" s="456"/>
      <c r="AB226" s="451"/>
      <c r="AC226" s="451"/>
      <c r="AD226" s="451"/>
      <c r="AE226" s="457"/>
      <c r="AF226" s="451"/>
      <c r="AG226" s="451"/>
      <c r="AH226" s="451"/>
      <c r="AI226" s="451"/>
      <c r="AJ226" s="451"/>
      <c r="AK226" s="462"/>
      <c r="AM226" s="451"/>
      <c r="AQ226" s="458"/>
      <c r="AS226" s="459"/>
      <c r="AV226" s="460" t="s">
        <v>36</v>
      </c>
      <c r="AY226" s="460"/>
      <c r="BA226" s="464" t="str">
        <f>_xlfn.XLOOKUP(B226,'School List from APT'!A:A,'School List from APT'!C:C,"",FALSE)</f>
        <v/>
      </c>
    </row>
    <row r="227" spans="1:53" x14ac:dyDescent="0.25">
      <c r="A227" s="453" t="s">
        <v>536</v>
      </c>
      <c r="B227" s="453">
        <v>7016</v>
      </c>
      <c r="C227" s="453">
        <v>7016</v>
      </c>
      <c r="D227" s="453" t="s">
        <v>537</v>
      </c>
      <c r="F227" s="454" t="s">
        <v>538</v>
      </c>
      <c r="G227" s="454" t="s">
        <v>36</v>
      </c>
      <c r="H227" s="451">
        <v>566003.65639779717</v>
      </c>
      <c r="I227" s="451">
        <v>0</v>
      </c>
      <c r="J227" s="455">
        <v>566003.65639779717</v>
      </c>
      <c r="K227" s="451">
        <v>5520134.9360752376</v>
      </c>
      <c r="L227" s="451">
        <v>209143.125</v>
      </c>
      <c r="M227" s="451"/>
      <c r="N227" s="451">
        <v>5729278.0610752376</v>
      </c>
      <c r="O227" s="451">
        <v>0</v>
      </c>
      <c r="P227" s="451">
        <v>0</v>
      </c>
      <c r="Q227" s="451">
        <v>0</v>
      </c>
      <c r="R227" s="451">
        <v>3886.32</v>
      </c>
      <c r="S227" s="451">
        <v>3886.32</v>
      </c>
      <c r="T227" s="451">
        <v>5733164.3810752379</v>
      </c>
      <c r="U227" s="451">
        <v>0</v>
      </c>
      <c r="V227" s="451">
        <v>6299168.037473035</v>
      </c>
      <c r="W227" s="451">
        <v>5504029.4500000002</v>
      </c>
      <c r="X227" s="451">
        <v>0</v>
      </c>
      <c r="Y227" s="451"/>
      <c r="Z227" s="451"/>
      <c r="AA227" s="456"/>
      <c r="AB227" s="451">
        <v>5504029.4500000002</v>
      </c>
      <c r="AC227" s="451">
        <v>795138.58747303486</v>
      </c>
      <c r="AD227" s="451">
        <v>792.405118956916</v>
      </c>
      <c r="AE227" s="457">
        <v>795930.99259199179</v>
      </c>
      <c r="AF227" s="451">
        <v>229927.33619419462</v>
      </c>
      <c r="AG227" s="451">
        <v>566003.65639779717</v>
      </c>
      <c r="AH227" s="451">
        <v>566003.65639779717</v>
      </c>
      <c r="AI227" s="451">
        <v>286463.90305376187</v>
      </c>
      <c r="AJ227" s="451">
        <v>792.405118956916</v>
      </c>
      <c r="AK227" s="462"/>
      <c r="AL227" s="453" t="s">
        <v>108</v>
      </c>
      <c r="AM227" s="451">
        <v>795930.99259199179</v>
      </c>
      <c r="AN227" s="453" t="s">
        <v>108</v>
      </c>
      <c r="AO227" s="453">
        <v>5</v>
      </c>
      <c r="AP227" s="453">
        <v>11</v>
      </c>
      <c r="AQ227" s="458">
        <v>0.13882926420517483</v>
      </c>
      <c r="AS227" s="459" t="s">
        <v>104</v>
      </c>
      <c r="AT227" s="453" t="s">
        <v>104</v>
      </c>
      <c r="AU227" s="464" t="s">
        <v>536</v>
      </c>
      <c r="AV227" s="460" t="s">
        <v>36</v>
      </c>
      <c r="AW227" s="453" t="s">
        <v>1430</v>
      </c>
      <c r="AY227" s="460"/>
      <c r="BA227" s="464" t="str">
        <f>_xlfn.XLOOKUP(B227,'School List from APT'!A:A,'School List from APT'!C:C,"",FALSE)</f>
        <v/>
      </c>
    </row>
    <row r="228" spans="1:53" x14ac:dyDescent="0.25">
      <c r="A228" s="453" t="s">
        <v>539</v>
      </c>
      <c r="B228" s="453">
        <v>7052</v>
      </c>
      <c r="C228" s="453">
        <v>7052</v>
      </c>
      <c r="D228" s="453" t="s">
        <v>540</v>
      </c>
      <c r="F228" s="454" t="s">
        <v>538</v>
      </c>
      <c r="G228" s="454" t="s">
        <v>36</v>
      </c>
      <c r="H228" s="451">
        <v>409052.64700406051</v>
      </c>
      <c r="I228" s="451">
        <v>0</v>
      </c>
      <c r="J228" s="455">
        <v>409052.64700406051</v>
      </c>
      <c r="K228" s="451">
        <v>2012725.8507548487</v>
      </c>
      <c r="L228" s="451">
        <v>153598.9375</v>
      </c>
      <c r="M228" s="451"/>
      <c r="N228" s="451">
        <v>2166324.7882548487</v>
      </c>
      <c r="O228" s="451">
        <v>0</v>
      </c>
      <c r="P228" s="451">
        <v>0</v>
      </c>
      <c r="Q228" s="451">
        <v>0</v>
      </c>
      <c r="R228" s="451">
        <v>0</v>
      </c>
      <c r="S228" s="451">
        <v>0</v>
      </c>
      <c r="T228" s="451">
        <v>2166324.7882548487</v>
      </c>
      <c r="U228" s="451">
        <v>0</v>
      </c>
      <c r="V228" s="451">
        <v>2575377.4352589091</v>
      </c>
      <c r="W228" s="451">
        <v>2206431.4300000002</v>
      </c>
      <c r="X228" s="451">
        <v>-10457.790000000001</v>
      </c>
      <c r="Y228" s="451"/>
      <c r="Z228" s="451"/>
      <c r="AA228" s="456"/>
      <c r="AB228" s="451">
        <v>2195973.64</v>
      </c>
      <c r="AC228" s="451">
        <v>379403.795258909</v>
      </c>
      <c r="AD228" s="451">
        <v>531.1653133624726</v>
      </c>
      <c r="AE228" s="457">
        <v>379934.96057227149</v>
      </c>
      <c r="AF228" s="451">
        <v>-29117.686431789014</v>
      </c>
      <c r="AG228" s="451">
        <v>409052.64700406051</v>
      </c>
      <c r="AH228" s="451">
        <v>379403.795258909</v>
      </c>
      <c r="AI228" s="451">
        <v>108316.23941274243</v>
      </c>
      <c r="AJ228" s="451">
        <v>531.1653133624726</v>
      </c>
      <c r="AK228" s="462"/>
      <c r="AL228" s="453" t="s">
        <v>108</v>
      </c>
      <c r="AM228" s="451">
        <v>379934.96057227149</v>
      </c>
      <c r="AN228" s="453" t="s">
        <v>108</v>
      </c>
      <c r="AO228" s="453">
        <v>10</v>
      </c>
      <c r="AP228" s="453">
        <v>8</v>
      </c>
      <c r="AQ228" s="458">
        <v>0.17538227076205876</v>
      </c>
      <c r="AS228" s="459" t="s">
        <v>104</v>
      </c>
      <c r="AT228" s="453" t="s">
        <v>104</v>
      </c>
      <c r="AU228" s="464" t="s">
        <v>539</v>
      </c>
      <c r="AV228" s="460" t="s">
        <v>36</v>
      </c>
      <c r="AW228" s="453" t="s">
        <v>1430</v>
      </c>
      <c r="AY228" s="460"/>
      <c r="BA228" s="464" t="str">
        <f>_xlfn.XLOOKUP(B228,'School List from APT'!A:A,'School List from APT'!C:C,"",FALSE)</f>
        <v/>
      </c>
    </row>
    <row r="229" spans="1:53" x14ac:dyDescent="0.25">
      <c r="A229" s="453" t="s">
        <v>541</v>
      </c>
      <c r="B229" s="453">
        <v>7030</v>
      </c>
      <c r="C229" s="453">
        <v>7030</v>
      </c>
      <c r="D229" s="453" t="s">
        <v>542</v>
      </c>
      <c r="F229" s="454" t="s">
        <v>538</v>
      </c>
      <c r="G229" s="454" t="s">
        <v>36</v>
      </c>
      <c r="H229" s="451">
        <v>377584.94695667265</v>
      </c>
      <c r="I229" s="451">
        <v>0</v>
      </c>
      <c r="J229" s="455">
        <v>377584.94695667265</v>
      </c>
      <c r="K229" s="451">
        <v>1323816.985572895</v>
      </c>
      <c r="L229" s="451">
        <v>131613.4375</v>
      </c>
      <c r="M229" s="451"/>
      <c r="N229" s="451">
        <v>1455430.423072895</v>
      </c>
      <c r="O229" s="451">
        <v>0</v>
      </c>
      <c r="P229" s="451">
        <v>0</v>
      </c>
      <c r="Q229" s="451">
        <v>0</v>
      </c>
      <c r="R229" s="451">
        <v>1605.22</v>
      </c>
      <c r="S229" s="451">
        <v>1605.22</v>
      </c>
      <c r="T229" s="451">
        <v>1457035.643072895</v>
      </c>
      <c r="U229" s="451">
        <v>0</v>
      </c>
      <c r="V229" s="451">
        <v>1834620.5900295677</v>
      </c>
      <c r="W229" s="451">
        <v>1589188.42</v>
      </c>
      <c r="X229" s="451">
        <v>0</v>
      </c>
      <c r="Y229" s="451"/>
      <c r="Z229" s="451"/>
      <c r="AA229" s="456"/>
      <c r="AB229" s="451">
        <v>1589188.42</v>
      </c>
      <c r="AC229" s="451">
        <v>245432.17002956779</v>
      </c>
      <c r="AD229" s="451">
        <v>343.60503804139489</v>
      </c>
      <c r="AE229" s="457">
        <v>245775.77506760918</v>
      </c>
      <c r="AF229" s="451">
        <v>-131809.17188906347</v>
      </c>
      <c r="AG229" s="451">
        <v>377584.94695667265</v>
      </c>
      <c r="AH229" s="451">
        <v>245432.17002956779</v>
      </c>
      <c r="AI229" s="451">
        <v>72771.52115364476</v>
      </c>
      <c r="AJ229" s="451">
        <v>343.60503804139489</v>
      </c>
      <c r="AL229" s="453" t="s">
        <v>108</v>
      </c>
      <c r="AM229" s="451">
        <v>245775.77506760918</v>
      </c>
      <c r="AN229" s="453" t="s">
        <v>108</v>
      </c>
      <c r="AO229" s="453">
        <v>15</v>
      </c>
      <c r="AP229" s="453">
        <v>9</v>
      </c>
      <c r="AQ229" s="458">
        <v>0.1686820608926676</v>
      </c>
      <c r="AS229" s="459" t="s">
        <v>104</v>
      </c>
      <c r="AT229" s="453" t="s">
        <v>104</v>
      </c>
      <c r="AU229" s="464" t="s">
        <v>541</v>
      </c>
      <c r="AV229" s="460" t="s">
        <v>36</v>
      </c>
      <c r="AW229" s="453" t="s">
        <v>1430</v>
      </c>
      <c r="AY229" s="460"/>
      <c r="BA229" s="464" t="str">
        <f>_xlfn.XLOOKUP(B229,'School List from APT'!A:A,'School List from APT'!C:C,"",FALSE)</f>
        <v/>
      </c>
    </row>
    <row r="230" spans="1:53" x14ac:dyDescent="0.25">
      <c r="A230" s="453" t="s">
        <v>543</v>
      </c>
      <c r="B230" s="453">
        <v>7051</v>
      </c>
      <c r="C230" s="453">
        <v>7051</v>
      </c>
      <c r="D230" s="453" t="s">
        <v>544</v>
      </c>
      <c r="F230" s="454" t="s">
        <v>538</v>
      </c>
      <c r="G230" s="454" t="s">
        <v>107</v>
      </c>
      <c r="H230" s="451">
        <v>333338.32877324987</v>
      </c>
      <c r="I230" s="451">
        <v>11128.001226750144</v>
      </c>
      <c r="J230" s="455">
        <v>344466.33</v>
      </c>
      <c r="K230" s="451">
        <v>2246620.2838402726</v>
      </c>
      <c r="L230" s="451">
        <v>222695.75</v>
      </c>
      <c r="M230" s="451"/>
      <c r="N230" s="451">
        <v>2469316.0338402726</v>
      </c>
      <c r="O230" s="451">
        <v>285232</v>
      </c>
      <c r="P230" s="451">
        <v>0</v>
      </c>
      <c r="Q230" s="451">
        <v>0</v>
      </c>
      <c r="R230" s="451">
        <v>0</v>
      </c>
      <c r="S230" s="451">
        <v>285232</v>
      </c>
      <c r="T230" s="451">
        <v>2754548.0338402726</v>
      </c>
      <c r="U230" s="451">
        <v>0</v>
      </c>
      <c r="V230" s="451">
        <v>3099014.3638402727</v>
      </c>
      <c r="W230" s="451">
        <v>2344452.7599999998</v>
      </c>
      <c r="X230" s="451">
        <v>0</v>
      </c>
      <c r="Y230" s="451"/>
      <c r="Z230" s="451"/>
      <c r="AA230" s="493"/>
      <c r="AB230" s="451">
        <v>2344452.7599999998</v>
      </c>
      <c r="AC230" s="451">
        <v>754561.60384027287</v>
      </c>
      <c r="AD230" s="451">
        <v>0</v>
      </c>
      <c r="AE230" s="457">
        <v>754561.60384027287</v>
      </c>
      <c r="AF230" s="451">
        <v>410095.27384027286</v>
      </c>
      <c r="AG230" s="451">
        <v>344466.33</v>
      </c>
      <c r="AH230" s="451">
        <v>0</v>
      </c>
      <c r="AI230" s="451">
        <v>0</v>
      </c>
      <c r="AJ230" s="451">
        <v>0</v>
      </c>
      <c r="AK230" s="462"/>
      <c r="AL230" s="453" t="s">
        <v>108</v>
      </c>
      <c r="AM230" s="451">
        <v>754561.60384027287</v>
      </c>
      <c r="AN230" s="453" t="s">
        <v>108</v>
      </c>
      <c r="AO230" s="453">
        <v>6</v>
      </c>
      <c r="AP230" s="453">
        <v>2</v>
      </c>
      <c r="AQ230" s="458">
        <v>0.27393299901483131</v>
      </c>
      <c r="AS230" s="459" t="s">
        <v>104</v>
      </c>
      <c r="AT230" s="453" t="s">
        <v>109</v>
      </c>
      <c r="AU230" s="464" t="s">
        <v>543</v>
      </c>
      <c r="AV230" s="460" t="s">
        <v>36</v>
      </c>
      <c r="AW230" s="453" t="s">
        <v>1431</v>
      </c>
      <c r="BA230" s="464" t="str">
        <f>_xlfn.XLOOKUP(B230,'School List from APT'!A:A,'School List from APT'!C:C,"",FALSE)</f>
        <v/>
      </c>
    </row>
    <row r="231" spans="1:53" x14ac:dyDescent="0.25">
      <c r="A231" s="453" t="s">
        <v>545</v>
      </c>
      <c r="B231" s="453">
        <v>7035</v>
      </c>
      <c r="C231" s="453">
        <v>7035</v>
      </c>
      <c r="D231" s="453" t="s">
        <v>546</v>
      </c>
      <c r="F231" s="454" t="s">
        <v>538</v>
      </c>
      <c r="G231" s="454" t="s">
        <v>36</v>
      </c>
      <c r="H231" s="451">
        <v>555175.07332995255</v>
      </c>
      <c r="I231" s="451">
        <v>0</v>
      </c>
      <c r="J231" s="455">
        <v>555175.07332995255</v>
      </c>
      <c r="K231" s="451">
        <v>2509527.1006814772</v>
      </c>
      <c r="L231" s="451">
        <v>288166</v>
      </c>
      <c r="M231" s="451"/>
      <c r="N231" s="451">
        <v>2797693.1006814772</v>
      </c>
      <c r="O231" s="451">
        <v>0</v>
      </c>
      <c r="P231" s="451">
        <v>0</v>
      </c>
      <c r="Q231" s="451">
        <v>0</v>
      </c>
      <c r="R231" s="451">
        <v>0</v>
      </c>
      <c r="S231" s="451">
        <v>0</v>
      </c>
      <c r="T231" s="451">
        <v>2797693.1006814772</v>
      </c>
      <c r="U231" s="451">
        <v>0</v>
      </c>
      <c r="V231" s="451">
        <v>3352868.1740114298</v>
      </c>
      <c r="W231" s="451">
        <v>2829263.34</v>
      </c>
      <c r="X231" s="451">
        <v>-12150</v>
      </c>
      <c r="Y231" s="451"/>
      <c r="Z231" s="451"/>
      <c r="AA231" s="456"/>
      <c r="AB231" s="451">
        <v>2817113.34</v>
      </c>
      <c r="AC231" s="451">
        <v>535754.83401142992</v>
      </c>
      <c r="AD231" s="451">
        <v>750.05676761600182</v>
      </c>
      <c r="AE231" s="457">
        <v>536504.89077904588</v>
      </c>
      <c r="AF231" s="451">
        <v>-18670.182550906669</v>
      </c>
      <c r="AG231" s="451">
        <v>555175.07332995255</v>
      </c>
      <c r="AH231" s="451">
        <v>535754.83401142992</v>
      </c>
      <c r="AI231" s="451">
        <v>139884.65503407386</v>
      </c>
      <c r="AJ231" s="451">
        <v>750.05676761600182</v>
      </c>
      <c r="AK231" s="462"/>
      <c r="AL231" s="453" t="s">
        <v>108</v>
      </c>
      <c r="AM231" s="451">
        <v>536504.89077904588</v>
      </c>
      <c r="AN231" s="453" t="s">
        <v>108</v>
      </c>
      <c r="AO231" s="453">
        <v>9</v>
      </c>
      <c r="AP231" s="453">
        <v>7</v>
      </c>
      <c r="AQ231" s="458">
        <v>0.19176688488396426</v>
      </c>
      <c r="AS231" s="459" t="s">
        <v>104</v>
      </c>
      <c r="AT231" s="453" t="s">
        <v>104</v>
      </c>
      <c r="AU231" s="464" t="s">
        <v>545</v>
      </c>
      <c r="AV231" s="460" t="s">
        <v>36</v>
      </c>
      <c r="AW231" s="453" t="s">
        <v>1430</v>
      </c>
      <c r="BA231" s="464" t="str">
        <f>_xlfn.XLOOKUP(B231,'School List from APT'!A:A,'School List from APT'!C:C,"",FALSE)</f>
        <v/>
      </c>
    </row>
    <row r="232" spans="1:53" x14ac:dyDescent="0.25">
      <c r="A232" s="453" t="s">
        <v>547</v>
      </c>
      <c r="B232" s="453">
        <v>7050</v>
      </c>
      <c r="C232" s="453">
        <v>7050</v>
      </c>
      <c r="D232" s="453" t="s">
        <v>548</v>
      </c>
      <c r="F232" s="454" t="s">
        <v>538</v>
      </c>
      <c r="G232" s="454" t="s">
        <v>36</v>
      </c>
      <c r="H232" s="451">
        <v>501785.63921472686</v>
      </c>
      <c r="I232" s="451">
        <v>0</v>
      </c>
      <c r="J232" s="455">
        <v>501785.63921472686</v>
      </c>
      <c r="K232" s="451">
        <v>2711787.7001022296</v>
      </c>
      <c r="L232" s="451">
        <v>137570.9375</v>
      </c>
      <c r="M232" s="451"/>
      <c r="N232" s="451">
        <v>2849358.6376022296</v>
      </c>
      <c r="O232" s="451">
        <v>0</v>
      </c>
      <c r="P232" s="451">
        <v>0</v>
      </c>
      <c r="Q232" s="451">
        <v>0</v>
      </c>
      <c r="R232" s="451">
        <v>1858.67</v>
      </c>
      <c r="S232" s="451">
        <v>1858.67</v>
      </c>
      <c r="T232" s="451">
        <v>2851217.3076022295</v>
      </c>
      <c r="U232" s="451">
        <v>0</v>
      </c>
      <c r="V232" s="451">
        <v>3353002.9468169566</v>
      </c>
      <c r="W232" s="451">
        <v>2696296.65</v>
      </c>
      <c r="X232" s="451">
        <v>-6784.83</v>
      </c>
      <c r="Y232" s="451"/>
      <c r="Z232" s="451"/>
      <c r="AA232" s="456"/>
      <c r="AB232" s="451">
        <v>2689511.82</v>
      </c>
      <c r="AC232" s="451">
        <v>663491.12681695679</v>
      </c>
      <c r="AD232" s="451">
        <v>702.49989490061762</v>
      </c>
      <c r="AE232" s="457">
        <v>664193.62671185739</v>
      </c>
      <c r="AF232" s="451">
        <v>162407.98749713053</v>
      </c>
      <c r="AG232" s="451">
        <v>501785.63921472686</v>
      </c>
      <c r="AH232" s="451">
        <v>501785.63921472686</v>
      </c>
      <c r="AI232" s="451">
        <v>142467.93188011149</v>
      </c>
      <c r="AJ232" s="451">
        <v>702.49989490061762</v>
      </c>
      <c r="AK232" s="462"/>
      <c r="AL232" s="453" t="s">
        <v>108</v>
      </c>
      <c r="AM232" s="451">
        <v>664193.62671185739</v>
      </c>
      <c r="AN232" s="453" t="s">
        <v>108</v>
      </c>
      <c r="AO232" s="453">
        <v>8</v>
      </c>
      <c r="AP232" s="453">
        <v>4</v>
      </c>
      <c r="AQ232" s="458">
        <v>0.2329508960754802</v>
      </c>
      <c r="AS232" s="459" t="s">
        <v>104</v>
      </c>
      <c r="AT232" s="453" t="s">
        <v>104</v>
      </c>
      <c r="AU232" s="464" t="s">
        <v>547</v>
      </c>
      <c r="AV232" s="460" t="s">
        <v>36</v>
      </c>
      <c r="AW232" s="453" t="s">
        <v>1430</v>
      </c>
      <c r="BA232" s="464" t="str">
        <f>_xlfn.XLOOKUP(B232,'School List from APT'!A:A,'School List from APT'!C:C,"",FALSE)</f>
        <v/>
      </c>
    </row>
    <row r="233" spans="1:53" x14ac:dyDescent="0.25">
      <c r="A233" s="453" t="s">
        <v>549</v>
      </c>
      <c r="B233" s="453">
        <v>7006</v>
      </c>
      <c r="C233" s="453">
        <v>7006</v>
      </c>
      <c r="D233" s="453" t="s">
        <v>550</v>
      </c>
      <c r="F233" s="454" t="s">
        <v>538</v>
      </c>
      <c r="G233" s="454" t="s">
        <v>36</v>
      </c>
      <c r="H233" s="451">
        <v>280703.73854058993</v>
      </c>
      <c r="I233" s="451">
        <v>0</v>
      </c>
      <c r="J233" s="455">
        <v>280703.73854058993</v>
      </c>
      <c r="K233" s="451">
        <v>2843802.8220826536</v>
      </c>
      <c r="L233" s="451">
        <v>238719.9375</v>
      </c>
      <c r="M233" s="451"/>
      <c r="N233" s="451">
        <v>3082522.7595826536</v>
      </c>
      <c r="O233" s="451">
        <v>0</v>
      </c>
      <c r="P233" s="451">
        <v>0</v>
      </c>
      <c r="Q233" s="451">
        <v>0</v>
      </c>
      <c r="R233" s="451">
        <v>0</v>
      </c>
      <c r="S233" s="451">
        <v>0</v>
      </c>
      <c r="T233" s="451">
        <v>3082522.7595826536</v>
      </c>
      <c r="U233" s="451">
        <v>0</v>
      </c>
      <c r="V233" s="451">
        <v>3363226.4981232435</v>
      </c>
      <c r="W233" s="451">
        <v>3063887.99</v>
      </c>
      <c r="X233" s="451">
        <v>-5857</v>
      </c>
      <c r="Y233" s="451"/>
      <c r="Z233" s="493"/>
      <c r="AA233" s="456"/>
      <c r="AB233" s="451">
        <v>3058030.99</v>
      </c>
      <c r="AC233" s="451">
        <v>305195.50812324323</v>
      </c>
      <c r="AD233" s="451">
        <v>392.98523395682588</v>
      </c>
      <c r="AE233" s="457">
        <v>305588.49335720006</v>
      </c>
      <c r="AF233" s="451">
        <v>24884.754816610133</v>
      </c>
      <c r="AG233" s="451">
        <v>280703.73854058993</v>
      </c>
      <c r="AH233" s="451">
        <v>280703.73854058993</v>
      </c>
      <c r="AI233" s="451">
        <v>154126.13797913268</v>
      </c>
      <c r="AJ233" s="451">
        <v>392.98523395682588</v>
      </c>
      <c r="AK233" s="462"/>
      <c r="AL233" s="453" t="s">
        <v>108</v>
      </c>
      <c r="AM233" s="451">
        <v>305588.49335720006</v>
      </c>
      <c r="AN233" s="453" t="s">
        <v>108</v>
      </c>
      <c r="AO233" s="453">
        <v>11</v>
      </c>
      <c r="AP233" s="453">
        <v>14</v>
      </c>
      <c r="AQ233" s="458">
        <v>9.913584333066662E-2</v>
      </c>
      <c r="AS233" s="459" t="s">
        <v>104</v>
      </c>
      <c r="AT233" s="453" t="s">
        <v>104</v>
      </c>
      <c r="AU233" s="464" t="s">
        <v>549</v>
      </c>
      <c r="AV233" s="460" t="s">
        <v>36</v>
      </c>
      <c r="AW233" s="453" t="s">
        <v>1430</v>
      </c>
      <c r="BA233" s="464" t="str">
        <f>_xlfn.XLOOKUP(B233,'School List from APT'!A:A,'School List from APT'!C:C,"",FALSE)</f>
        <v/>
      </c>
    </row>
    <row r="234" spans="1:53" x14ac:dyDescent="0.25">
      <c r="A234" s="453" t="s">
        <v>551</v>
      </c>
      <c r="B234" s="453">
        <v>7026</v>
      </c>
      <c r="C234" s="453">
        <v>7026</v>
      </c>
      <c r="D234" s="453" t="s">
        <v>552</v>
      </c>
      <c r="E234" s="453"/>
      <c r="F234" s="454" t="s">
        <v>857</v>
      </c>
      <c r="G234" s="454" t="s">
        <v>36</v>
      </c>
      <c r="H234" s="451">
        <v>-972260.1278474913</v>
      </c>
      <c r="I234" s="451">
        <v>0</v>
      </c>
      <c r="J234" s="455">
        <v>-972260.1278474913</v>
      </c>
      <c r="K234" s="451">
        <v>985826.98100118118</v>
      </c>
      <c r="L234" s="451">
        <v>100440</v>
      </c>
      <c r="M234" s="451"/>
      <c r="N234" s="451">
        <v>1086266.9810011811</v>
      </c>
      <c r="O234" s="451">
        <v>0</v>
      </c>
      <c r="P234" s="451">
        <v>0</v>
      </c>
      <c r="Q234" s="451">
        <v>0</v>
      </c>
      <c r="R234" s="451">
        <v>0</v>
      </c>
      <c r="S234" s="451">
        <v>0</v>
      </c>
      <c r="T234" s="451">
        <v>1086266.9810011811</v>
      </c>
      <c r="U234" s="451">
        <v>0</v>
      </c>
      <c r="V234" s="451">
        <v>114006.85315368976</v>
      </c>
      <c r="W234" s="451">
        <v>24283.25</v>
      </c>
      <c r="X234" s="451">
        <v>-10716.4</v>
      </c>
      <c r="Y234" s="451"/>
      <c r="Z234" s="451"/>
      <c r="AA234" s="456"/>
      <c r="AB234" s="451">
        <v>13566.85</v>
      </c>
      <c r="AC234" s="451">
        <v>100440.00315368976</v>
      </c>
      <c r="AD234" s="451">
        <v>0</v>
      </c>
      <c r="AE234" s="457">
        <v>100440.00315368976</v>
      </c>
      <c r="AF234" s="451">
        <v>1072700.131001181</v>
      </c>
      <c r="AG234" s="451">
        <v>-972260.1278474913</v>
      </c>
      <c r="AH234" s="451">
        <v>0</v>
      </c>
      <c r="AI234" s="451">
        <v>0</v>
      </c>
      <c r="AJ234" s="451">
        <v>0</v>
      </c>
      <c r="AK234" s="462"/>
      <c r="AL234" s="453" t="s">
        <v>1432</v>
      </c>
      <c r="AM234" s="451">
        <v>100440.00315368976</v>
      </c>
      <c r="AN234" s="453" t="s">
        <v>1432</v>
      </c>
      <c r="AO234" s="453">
        <v>16</v>
      </c>
      <c r="AP234" s="453">
        <v>15</v>
      </c>
      <c r="AQ234" s="458">
        <v>9.2463459637811232E-2</v>
      </c>
      <c r="AR234" s="453"/>
      <c r="AS234" s="459" t="s">
        <v>104</v>
      </c>
      <c r="AT234" s="453" t="s">
        <v>104</v>
      </c>
      <c r="AU234" s="453" t="s">
        <v>551</v>
      </c>
      <c r="AV234" s="460" t="s">
        <v>36</v>
      </c>
      <c r="AW234" s="453">
        <v>0</v>
      </c>
      <c r="AX234" s="453"/>
      <c r="AY234" s="453"/>
      <c r="BA234" s="464" t="str">
        <f>_xlfn.XLOOKUP(B234,'School List from APT'!A:A,'School List from APT'!C:C,"",FALSE)</f>
        <v/>
      </c>
    </row>
    <row r="235" spans="1:53" x14ac:dyDescent="0.25">
      <c r="A235" s="453" t="s">
        <v>553</v>
      </c>
      <c r="B235" s="453">
        <v>7053</v>
      </c>
      <c r="C235" s="453">
        <v>7053</v>
      </c>
      <c r="D235" s="453" t="s">
        <v>554</v>
      </c>
      <c r="E235" s="453"/>
      <c r="F235" s="454" t="s">
        <v>538</v>
      </c>
      <c r="G235" s="454" t="s">
        <v>36</v>
      </c>
      <c r="H235" s="451">
        <v>358353.14556215488</v>
      </c>
      <c r="I235" s="451">
        <v>0</v>
      </c>
      <c r="J235" s="455">
        <v>358353.14556215488</v>
      </c>
      <c r="K235" s="451">
        <v>2797180.9477151027</v>
      </c>
      <c r="L235" s="451">
        <v>175399.375</v>
      </c>
      <c r="M235" s="451"/>
      <c r="N235" s="451">
        <v>2972580.3227151027</v>
      </c>
      <c r="O235" s="451">
        <v>0</v>
      </c>
      <c r="P235" s="451">
        <v>0</v>
      </c>
      <c r="Q235" s="451">
        <v>0</v>
      </c>
      <c r="R235" s="451">
        <v>1943.16</v>
      </c>
      <c r="S235" s="451">
        <v>1943.16</v>
      </c>
      <c r="T235" s="451">
        <v>2974523.4827151028</v>
      </c>
      <c r="U235" s="451">
        <v>0</v>
      </c>
      <c r="V235" s="451">
        <v>3332876.6282772576</v>
      </c>
      <c r="W235" s="451">
        <v>2689446.34</v>
      </c>
      <c r="X235" s="451">
        <v>-24034.63</v>
      </c>
      <c r="Y235" s="451"/>
      <c r="Z235" s="451"/>
      <c r="AA235" s="456"/>
      <c r="AB235" s="451">
        <v>2665411.71</v>
      </c>
      <c r="AC235" s="451">
        <v>667464.91827725759</v>
      </c>
      <c r="AD235" s="451">
        <v>501.69440378701682</v>
      </c>
      <c r="AE235" s="457">
        <v>667966.61268104461</v>
      </c>
      <c r="AF235" s="451">
        <v>309613.46711888973</v>
      </c>
      <c r="AG235" s="451">
        <v>358353.14556215488</v>
      </c>
      <c r="AH235" s="451">
        <v>358353.14556215488</v>
      </c>
      <c r="AI235" s="451">
        <v>148629.01613575514</v>
      </c>
      <c r="AJ235" s="451">
        <v>501.69440378701682</v>
      </c>
      <c r="AK235" s="462"/>
      <c r="AL235" s="453" t="s">
        <v>108</v>
      </c>
      <c r="AM235" s="451">
        <v>667966.61268104461</v>
      </c>
      <c r="AN235" s="453" t="s">
        <v>108</v>
      </c>
      <c r="AO235" s="453">
        <v>7</v>
      </c>
      <c r="AP235" s="453">
        <v>6</v>
      </c>
      <c r="AQ235" s="458">
        <v>0.22456256155400534</v>
      </c>
      <c r="AR235" s="453"/>
      <c r="AS235" s="459" t="s">
        <v>104</v>
      </c>
      <c r="AT235" s="453" t="s">
        <v>104</v>
      </c>
      <c r="AU235" s="453" t="s">
        <v>553</v>
      </c>
      <c r="AV235" s="460" t="s">
        <v>36</v>
      </c>
      <c r="AW235" s="453" t="s">
        <v>1430</v>
      </c>
      <c r="AX235" s="453"/>
      <c r="AY235" s="453"/>
      <c r="BA235" s="464" t="str">
        <f>_xlfn.XLOOKUP(B235,'School List from APT'!A:A,'School List from APT'!C:C,"",FALSE)</f>
        <v/>
      </c>
    </row>
    <row r="236" spans="1:53" x14ac:dyDescent="0.25">
      <c r="A236" s="453" t="s">
        <v>555</v>
      </c>
      <c r="B236" s="453">
        <v>7060</v>
      </c>
      <c r="C236" s="453">
        <v>7060</v>
      </c>
      <c r="D236" s="453" t="s">
        <v>556</v>
      </c>
      <c r="F236" s="454" t="s">
        <v>538</v>
      </c>
      <c r="G236" s="454" t="s">
        <v>36</v>
      </c>
      <c r="H236" s="451">
        <v>270085.45069475699</v>
      </c>
      <c r="I236" s="451">
        <v>0</v>
      </c>
      <c r="J236" s="455">
        <v>270085.45069475699</v>
      </c>
      <c r="K236" s="451">
        <v>2007050.6334451579</v>
      </c>
      <c r="L236" s="451">
        <v>180257.375</v>
      </c>
      <c r="M236" s="451"/>
      <c r="N236" s="451">
        <v>2187308.0084451577</v>
      </c>
      <c r="O236" s="451">
        <v>0</v>
      </c>
      <c r="P236" s="451">
        <v>0</v>
      </c>
      <c r="Q236" s="451">
        <v>0</v>
      </c>
      <c r="R236" s="451">
        <v>0</v>
      </c>
      <c r="S236" s="451">
        <v>0</v>
      </c>
      <c r="T236" s="451">
        <v>2187308.0084451577</v>
      </c>
      <c r="U236" s="451">
        <v>0</v>
      </c>
      <c r="V236" s="451">
        <v>2457393.4591399147</v>
      </c>
      <c r="W236" s="451">
        <v>2173094.96</v>
      </c>
      <c r="X236" s="451">
        <v>0</v>
      </c>
      <c r="Y236" s="451"/>
      <c r="Z236" s="451"/>
      <c r="AA236" s="456"/>
      <c r="AB236" s="451">
        <v>2173094.96</v>
      </c>
      <c r="AC236" s="451">
        <v>284298.49913991475</v>
      </c>
      <c r="AD236" s="451">
        <v>378.11963097265982</v>
      </c>
      <c r="AE236" s="457">
        <v>284676.61877088743</v>
      </c>
      <c r="AF236" s="451">
        <v>14591.168076130445</v>
      </c>
      <c r="AG236" s="451">
        <v>270085.45069475699</v>
      </c>
      <c r="AH236" s="451">
        <v>270085.45069475699</v>
      </c>
      <c r="AI236" s="451">
        <v>109365.4004222579</v>
      </c>
      <c r="AJ236" s="451">
        <v>378.11963097265982</v>
      </c>
      <c r="AK236" s="462"/>
      <c r="AL236" s="453" t="s">
        <v>108</v>
      </c>
      <c r="AM236" s="451">
        <v>284676.61877088743</v>
      </c>
      <c r="AN236" s="453" t="s">
        <v>108</v>
      </c>
      <c r="AO236" s="453">
        <v>13</v>
      </c>
      <c r="AP236" s="453">
        <v>13</v>
      </c>
      <c r="AQ236" s="458">
        <v>0.130149305754725</v>
      </c>
      <c r="AS236" s="459" t="s">
        <v>104</v>
      </c>
      <c r="AT236" s="453" t="s">
        <v>104</v>
      </c>
      <c r="AU236" s="464" t="s">
        <v>555</v>
      </c>
      <c r="AV236" s="460" t="s">
        <v>36</v>
      </c>
      <c r="AW236" s="453" t="s">
        <v>1430</v>
      </c>
      <c r="BA236" s="464" t="str">
        <f>_xlfn.XLOOKUP(B236,'School List from APT'!A:A,'School List from APT'!C:C,"",FALSE)</f>
        <v/>
      </c>
    </row>
    <row r="237" spans="1:53" x14ac:dyDescent="0.25">
      <c r="A237" s="453" t="s">
        <v>557</v>
      </c>
      <c r="B237" s="453">
        <v>7062</v>
      </c>
      <c r="C237" s="453">
        <v>7062</v>
      </c>
      <c r="D237" s="453" t="s">
        <v>558</v>
      </c>
      <c r="F237" s="454" t="s">
        <v>538</v>
      </c>
      <c r="G237" s="454" t="s">
        <v>36</v>
      </c>
      <c r="H237" s="451">
        <v>-279198.67657498922</v>
      </c>
      <c r="I237" s="451">
        <v>0</v>
      </c>
      <c r="J237" s="455">
        <v>-279198.67657498922</v>
      </c>
      <c r="K237" s="451">
        <v>3575250.0602806075</v>
      </c>
      <c r="L237" s="451">
        <v>246035.75</v>
      </c>
      <c r="M237" s="451"/>
      <c r="N237" s="451">
        <v>3821285.8102806075</v>
      </c>
      <c r="O237" s="451">
        <v>0</v>
      </c>
      <c r="P237" s="451">
        <v>0</v>
      </c>
      <c r="Q237" s="451">
        <v>0</v>
      </c>
      <c r="R237" s="451">
        <v>0</v>
      </c>
      <c r="S237" s="451">
        <v>0</v>
      </c>
      <c r="T237" s="451">
        <v>3821285.8102806075</v>
      </c>
      <c r="U237" s="451">
        <v>0</v>
      </c>
      <c r="V237" s="451">
        <v>3542087.1337056183</v>
      </c>
      <c r="W237" s="451">
        <v>3671055.57</v>
      </c>
      <c r="X237" s="451">
        <v>0</v>
      </c>
      <c r="Y237" s="451"/>
      <c r="Z237" s="451"/>
      <c r="AA237" s="456"/>
      <c r="AB237" s="451">
        <v>3671055.57</v>
      </c>
      <c r="AC237" s="451">
        <v>-128968.43629438151</v>
      </c>
      <c r="AD237" s="451">
        <v>0</v>
      </c>
      <c r="AE237" s="457">
        <v>-128968.43629438151</v>
      </c>
      <c r="AF237" s="451">
        <v>150230.24028060772</v>
      </c>
      <c r="AG237" s="451">
        <v>-279198.67657498922</v>
      </c>
      <c r="AH237" s="451">
        <v>0</v>
      </c>
      <c r="AI237" s="451">
        <v>0</v>
      </c>
      <c r="AJ237" s="451">
        <v>0</v>
      </c>
      <c r="AK237" s="462"/>
      <c r="AL237" s="453" t="s">
        <v>103</v>
      </c>
      <c r="AM237" s="451">
        <v>-128968.43629438151</v>
      </c>
      <c r="AN237" s="453" t="s">
        <v>103</v>
      </c>
      <c r="AO237" s="453">
        <v>21</v>
      </c>
      <c r="AP237" s="453">
        <v>20</v>
      </c>
      <c r="AQ237" s="458">
        <v>-3.3750010519341657E-2</v>
      </c>
      <c r="AS237" s="459" t="s">
        <v>104</v>
      </c>
      <c r="AT237" s="453" t="s">
        <v>104</v>
      </c>
      <c r="AU237" s="464" t="s">
        <v>557</v>
      </c>
      <c r="AV237" s="460" t="s">
        <v>36</v>
      </c>
      <c r="AW237" s="453" t="s">
        <v>1430</v>
      </c>
      <c r="BA237" s="464" t="str">
        <f>_xlfn.XLOOKUP(B237,'School List from APT'!A:A,'School List from APT'!C:C,"",FALSE)</f>
        <v/>
      </c>
    </row>
    <row r="238" spans="1:53" x14ac:dyDescent="0.25">
      <c r="A238" s="453" t="s">
        <v>559</v>
      </c>
      <c r="B238" s="453">
        <v>7012</v>
      </c>
      <c r="C238" s="453">
        <v>7012</v>
      </c>
      <c r="D238" s="453" t="s">
        <v>560</v>
      </c>
      <c r="F238" s="454" t="s">
        <v>538</v>
      </c>
      <c r="G238" s="454" t="s">
        <v>36</v>
      </c>
      <c r="H238" s="451">
        <v>11167.810609639157</v>
      </c>
      <c r="I238" s="451">
        <v>0</v>
      </c>
      <c r="J238" s="455">
        <v>11167.810609639157</v>
      </c>
      <c r="K238" s="451">
        <v>1140807.1810064856</v>
      </c>
      <c r="L238" s="451">
        <v>116564.3125</v>
      </c>
      <c r="M238" s="451"/>
      <c r="N238" s="451">
        <v>1257371.4935064856</v>
      </c>
      <c r="O238" s="451">
        <v>0</v>
      </c>
      <c r="P238" s="451">
        <v>0</v>
      </c>
      <c r="Q238" s="451">
        <v>0</v>
      </c>
      <c r="R238" s="451">
        <v>0</v>
      </c>
      <c r="S238" s="451">
        <v>0</v>
      </c>
      <c r="T238" s="451">
        <v>1257371.4935064856</v>
      </c>
      <c r="U238" s="451">
        <v>0</v>
      </c>
      <c r="V238" s="451">
        <v>1268539.3041161248</v>
      </c>
      <c r="W238" s="451">
        <v>1258160.27</v>
      </c>
      <c r="X238" s="451">
        <v>-2061</v>
      </c>
      <c r="Y238" s="493"/>
      <c r="Z238" s="493"/>
      <c r="AA238" s="456"/>
      <c r="AB238" s="451">
        <v>1256099.27</v>
      </c>
      <c r="AC238" s="451">
        <v>12440.034116124734</v>
      </c>
      <c r="AD238" s="451">
        <v>15.634934853494819</v>
      </c>
      <c r="AE238" s="457">
        <v>12455.669050978229</v>
      </c>
      <c r="AF238" s="451">
        <v>1287.8584413390727</v>
      </c>
      <c r="AG238" s="451">
        <v>11167.810609639157</v>
      </c>
      <c r="AH238" s="451">
        <v>11167.810609639157</v>
      </c>
      <c r="AI238" s="451">
        <v>62868.574675324286</v>
      </c>
      <c r="AJ238" s="451">
        <v>15.634934853494819</v>
      </c>
      <c r="AK238" s="462"/>
      <c r="AL238" s="453" t="s">
        <v>108</v>
      </c>
      <c r="AM238" s="451">
        <v>12455.669050978229</v>
      </c>
      <c r="AN238" s="453" t="s">
        <v>108</v>
      </c>
      <c r="AO238" s="453">
        <v>19</v>
      </c>
      <c r="AP238" s="453">
        <v>19</v>
      </c>
      <c r="AQ238" s="458">
        <v>9.9061169394278007E-3</v>
      </c>
      <c r="AS238" s="459" t="s">
        <v>104</v>
      </c>
      <c r="AT238" s="453" t="s">
        <v>104</v>
      </c>
      <c r="AU238" s="464" t="s">
        <v>559</v>
      </c>
      <c r="AV238" s="460" t="s">
        <v>36</v>
      </c>
      <c r="AW238" s="453" t="s">
        <v>1430</v>
      </c>
      <c r="BA238" s="464" t="str">
        <f>_xlfn.XLOOKUP(B238,'School List from APT'!A:A,'School List from APT'!C:C,"",FALSE)</f>
        <v/>
      </c>
    </row>
    <row r="239" spans="1:53" x14ac:dyDescent="0.25">
      <c r="A239" s="453" t="s">
        <v>561</v>
      </c>
      <c r="B239" s="453">
        <v>7040</v>
      </c>
      <c r="C239" s="453">
        <v>7040</v>
      </c>
      <c r="D239" s="453" t="s">
        <v>562</v>
      </c>
      <c r="E239" s="453"/>
      <c r="F239" s="454" t="s">
        <v>857</v>
      </c>
      <c r="G239" s="454" t="s">
        <v>36</v>
      </c>
      <c r="H239" s="451">
        <v>-1143243.6441610828</v>
      </c>
      <c r="I239" s="451">
        <v>0</v>
      </c>
      <c r="J239" s="455">
        <v>-1143243.6441610828</v>
      </c>
      <c r="K239" s="451">
        <v>1121879.7841610827</v>
      </c>
      <c r="L239" s="451">
        <v>114233.75</v>
      </c>
      <c r="M239" s="451"/>
      <c r="N239" s="451">
        <v>1236113.5341610827</v>
      </c>
      <c r="O239" s="451">
        <v>0</v>
      </c>
      <c r="P239" s="451">
        <v>0</v>
      </c>
      <c r="Q239" s="451">
        <v>0</v>
      </c>
      <c r="R239" s="451">
        <v>0</v>
      </c>
      <c r="S239" s="451">
        <v>0</v>
      </c>
      <c r="T239" s="451">
        <v>1236113.5341610827</v>
      </c>
      <c r="U239" s="451">
        <v>0</v>
      </c>
      <c r="V239" s="451">
        <v>92869.889999999898</v>
      </c>
      <c r="W239" s="451">
        <v>7044.78</v>
      </c>
      <c r="X239" s="451">
        <v>0</v>
      </c>
      <c r="Y239" s="451"/>
      <c r="Z239" s="451"/>
      <c r="AA239" s="456"/>
      <c r="AB239" s="451">
        <v>7044.78</v>
      </c>
      <c r="AC239" s="451">
        <v>85825.109999999899</v>
      </c>
      <c r="AD239" s="451">
        <v>0</v>
      </c>
      <c r="AE239" s="457">
        <v>85825.109999999899</v>
      </c>
      <c r="AF239" s="451">
        <v>1229068.7541610827</v>
      </c>
      <c r="AG239" s="451">
        <v>-1143243.6441610828</v>
      </c>
      <c r="AH239" s="451">
        <v>0</v>
      </c>
      <c r="AI239" s="451">
        <v>0</v>
      </c>
      <c r="AJ239" s="451">
        <v>0</v>
      </c>
      <c r="AK239" s="462"/>
      <c r="AL239" s="453" t="s">
        <v>1432</v>
      </c>
      <c r="AM239" s="451">
        <v>85825.109999999899</v>
      </c>
      <c r="AN239" s="453" t="s">
        <v>1432</v>
      </c>
      <c r="AO239" s="453">
        <v>17</v>
      </c>
      <c r="AP239" s="453">
        <v>16</v>
      </c>
      <c r="AQ239" s="458">
        <v>6.943141356206177E-2</v>
      </c>
      <c r="AR239" s="453"/>
      <c r="AS239" s="459" t="s">
        <v>104</v>
      </c>
      <c r="AT239" s="453" t="s">
        <v>104</v>
      </c>
      <c r="AU239" s="453" t="s">
        <v>561</v>
      </c>
      <c r="AV239" s="460" t="s">
        <v>36</v>
      </c>
      <c r="AW239" s="453" t="s">
        <v>1433</v>
      </c>
      <c r="AX239" s="453"/>
      <c r="AY239" s="453"/>
      <c r="BA239" s="464" t="str">
        <f>_xlfn.XLOOKUP(B239,'School List from APT'!A:A,'School List from APT'!C:C,"",FALSE)</f>
        <v/>
      </c>
    </row>
    <row r="240" spans="1:53" x14ac:dyDescent="0.25">
      <c r="A240" s="453" t="s">
        <v>563</v>
      </c>
      <c r="B240" s="453">
        <v>7045</v>
      </c>
      <c r="C240" s="453">
        <v>7045</v>
      </c>
      <c r="D240" s="453" t="s">
        <v>564</v>
      </c>
      <c r="F240" s="454" t="s">
        <v>538</v>
      </c>
      <c r="G240" s="454" t="s">
        <v>36</v>
      </c>
      <c r="H240" s="451">
        <v>864390.23698471743</v>
      </c>
      <c r="I240" s="451">
        <v>0</v>
      </c>
      <c r="J240" s="455">
        <v>864390.23698471743</v>
      </c>
      <c r="K240" s="451">
        <v>4346958.765261367</v>
      </c>
      <c r="L240" s="451">
        <v>377560.8125</v>
      </c>
      <c r="M240" s="451"/>
      <c r="N240" s="451">
        <v>4724519.577761367</v>
      </c>
      <c r="O240" s="451">
        <v>0</v>
      </c>
      <c r="P240" s="451">
        <v>0</v>
      </c>
      <c r="Q240" s="451">
        <v>0</v>
      </c>
      <c r="R240" s="451">
        <v>0</v>
      </c>
      <c r="S240" s="451">
        <v>0</v>
      </c>
      <c r="T240" s="451">
        <v>4724519.577761367</v>
      </c>
      <c r="U240" s="451">
        <v>0</v>
      </c>
      <c r="V240" s="451">
        <v>5588909.8147460846</v>
      </c>
      <c r="W240" s="451">
        <v>4491789.7300000004</v>
      </c>
      <c r="X240" s="451">
        <v>-11440.85</v>
      </c>
      <c r="Y240" s="451"/>
      <c r="Z240" s="451"/>
      <c r="AA240" s="456"/>
      <c r="AB240" s="451">
        <v>4480348.8800000008</v>
      </c>
      <c r="AC240" s="451">
        <v>1108560.9347460838</v>
      </c>
      <c r="AD240" s="451">
        <v>531.28405528636461</v>
      </c>
      <c r="AE240" s="457">
        <v>1109092.2188013701</v>
      </c>
      <c r="AF240" s="451">
        <v>244701.9818166527</v>
      </c>
      <c r="AG240" s="451">
        <v>864390.23698471743</v>
      </c>
      <c r="AH240" s="451">
        <v>864390.23698471743</v>
      </c>
      <c r="AI240" s="451">
        <v>236225.97888806835</v>
      </c>
      <c r="AJ240" s="451">
        <v>1210.1463317786042</v>
      </c>
      <c r="AK240" s="462"/>
      <c r="AL240" s="453" t="s">
        <v>108</v>
      </c>
      <c r="AM240" s="451">
        <v>1109092.2188013701</v>
      </c>
      <c r="AN240" s="453" t="s">
        <v>108</v>
      </c>
      <c r="AO240" s="453">
        <v>3</v>
      </c>
      <c r="AP240" s="453">
        <v>3</v>
      </c>
      <c r="AQ240" s="458">
        <v>0.23475238075463634</v>
      </c>
      <c r="AS240" s="459" t="s">
        <v>104</v>
      </c>
      <c r="AT240" s="453" t="s">
        <v>104</v>
      </c>
      <c r="AU240" s="464" t="s">
        <v>563</v>
      </c>
      <c r="AV240" s="460" t="s">
        <v>36</v>
      </c>
      <c r="AW240" s="453" t="s">
        <v>1430</v>
      </c>
      <c r="BA240" s="464" t="str">
        <f>_xlfn.XLOOKUP(B240,'School List from APT'!A:A,'School List from APT'!C:C,"",FALSE)</f>
        <v/>
      </c>
    </row>
    <row r="241" spans="1:53" x14ac:dyDescent="0.25">
      <c r="A241" s="453" t="s">
        <v>565</v>
      </c>
      <c r="B241" s="453">
        <v>7034</v>
      </c>
      <c r="C241" s="453">
        <v>7034</v>
      </c>
      <c r="D241" s="453" t="s">
        <v>566</v>
      </c>
      <c r="F241" s="454" t="s">
        <v>538</v>
      </c>
      <c r="G241" s="454" t="s">
        <v>36</v>
      </c>
      <c r="H241" s="451">
        <v>124113.61432351258</v>
      </c>
      <c r="I241" s="451">
        <v>0</v>
      </c>
      <c r="J241" s="455">
        <v>124113.61432351258</v>
      </c>
      <c r="K241" s="451">
        <v>1884855.4830591856</v>
      </c>
      <c r="L241" s="451">
        <v>159246.75</v>
      </c>
      <c r="M241" s="451"/>
      <c r="N241" s="451">
        <v>2044102.2330591856</v>
      </c>
      <c r="O241" s="451">
        <v>0</v>
      </c>
      <c r="P241" s="451">
        <v>0</v>
      </c>
      <c r="Q241" s="451">
        <v>0</v>
      </c>
      <c r="R241" s="451">
        <v>1098.31</v>
      </c>
      <c r="S241" s="451">
        <v>1098.31</v>
      </c>
      <c r="T241" s="451">
        <v>2045200.5430591856</v>
      </c>
      <c r="U241" s="451">
        <v>0</v>
      </c>
      <c r="V241" s="451">
        <v>2169314.1573826983</v>
      </c>
      <c r="W241" s="451">
        <v>1897265.03</v>
      </c>
      <c r="X241" s="451">
        <v>-12445.02</v>
      </c>
      <c r="Y241" s="451"/>
      <c r="Z241" s="451"/>
      <c r="AA241" s="456"/>
      <c r="AB241" s="451">
        <v>1884820.01</v>
      </c>
      <c r="AC241" s="451">
        <v>284494.14738269825</v>
      </c>
      <c r="AD241" s="451">
        <v>173.75906005291759</v>
      </c>
      <c r="AE241" s="457">
        <v>284667.90644275118</v>
      </c>
      <c r="AF241" s="451">
        <v>160554.29211923858</v>
      </c>
      <c r="AG241" s="451">
        <v>124113.61432351258</v>
      </c>
      <c r="AH241" s="451">
        <v>124113.61432351258</v>
      </c>
      <c r="AI241" s="451">
        <v>102205.11165295928</v>
      </c>
      <c r="AJ241" s="451">
        <v>173.75906005291759</v>
      </c>
      <c r="AK241" s="462"/>
      <c r="AL241" s="453" t="s">
        <v>108</v>
      </c>
      <c r="AM241" s="451">
        <v>284667.90644275118</v>
      </c>
      <c r="AN241" s="453" t="s">
        <v>108</v>
      </c>
      <c r="AO241" s="453">
        <v>14</v>
      </c>
      <c r="AP241" s="453">
        <v>10</v>
      </c>
      <c r="AQ241" s="458">
        <v>0.1391882607350321</v>
      </c>
      <c r="AS241" s="459" t="s">
        <v>104</v>
      </c>
      <c r="AT241" s="453" t="s">
        <v>104</v>
      </c>
      <c r="AU241" s="464" t="s">
        <v>565</v>
      </c>
      <c r="AV241" s="460" t="s">
        <v>36</v>
      </c>
      <c r="AW241" s="453" t="s">
        <v>1430</v>
      </c>
      <c r="BA241" s="464" t="str">
        <f>_xlfn.XLOOKUP(B241,'School List from APT'!A:A,'School List from APT'!C:C,"",FALSE)</f>
        <v/>
      </c>
    </row>
    <row r="242" spans="1:53" x14ac:dyDescent="0.25">
      <c r="A242" s="453" t="s">
        <v>568</v>
      </c>
      <c r="B242" s="453">
        <v>7033</v>
      </c>
      <c r="C242" s="453">
        <v>7033</v>
      </c>
      <c r="D242" s="453" t="s">
        <v>569</v>
      </c>
      <c r="F242" s="454" t="s">
        <v>538</v>
      </c>
      <c r="G242" s="454" t="s">
        <v>107</v>
      </c>
      <c r="H242" s="451">
        <v>535352.17907587811</v>
      </c>
      <c r="I242" s="451">
        <v>-23727.409075878095</v>
      </c>
      <c r="J242" s="455">
        <v>511624.77</v>
      </c>
      <c r="K242" s="451">
        <v>5847301.3170696925</v>
      </c>
      <c r="L242" s="451">
        <v>524686.875</v>
      </c>
      <c r="M242" s="451"/>
      <c r="N242" s="451">
        <v>6371988.1920696925</v>
      </c>
      <c r="O242" s="451">
        <v>429993</v>
      </c>
      <c r="P242" s="451">
        <v>0</v>
      </c>
      <c r="Q242" s="451">
        <v>0</v>
      </c>
      <c r="R242" s="451">
        <v>7181.21</v>
      </c>
      <c r="S242" s="451">
        <v>437174.21</v>
      </c>
      <c r="T242" s="451">
        <v>6809162.4020696925</v>
      </c>
      <c r="U242" s="451">
        <v>0</v>
      </c>
      <c r="V242" s="451">
        <v>7320787.172069693</v>
      </c>
      <c r="W242" s="451">
        <v>6428414.5700000003</v>
      </c>
      <c r="X242" s="451">
        <v>0</v>
      </c>
      <c r="Y242" s="451"/>
      <c r="Z242" s="451"/>
      <c r="AA242" s="456"/>
      <c r="AB242" s="451">
        <v>6428414.5700000003</v>
      </c>
      <c r="AC242" s="451">
        <v>892372.60206969269</v>
      </c>
      <c r="AD242" s="451">
        <v>0</v>
      </c>
      <c r="AE242" s="457">
        <v>892372.60206969269</v>
      </c>
      <c r="AF242" s="451">
        <v>380747.83206969267</v>
      </c>
      <c r="AG242" s="451">
        <v>511624.77</v>
      </c>
      <c r="AH242" s="451">
        <v>0</v>
      </c>
      <c r="AI242" s="451">
        <v>0</v>
      </c>
      <c r="AJ242" s="451">
        <v>0</v>
      </c>
      <c r="AK242" s="462"/>
      <c r="AL242" s="453" t="s">
        <v>108</v>
      </c>
      <c r="AM242" s="451">
        <v>892372.60206969269</v>
      </c>
      <c r="AN242" s="453" t="s">
        <v>108</v>
      </c>
      <c r="AO242" s="453">
        <v>4</v>
      </c>
      <c r="AP242" s="453">
        <v>12</v>
      </c>
      <c r="AQ242" s="458">
        <v>0.13105468035223389</v>
      </c>
      <c r="AS242" s="459" t="s">
        <v>104</v>
      </c>
      <c r="AT242" s="453" t="s">
        <v>109</v>
      </c>
      <c r="AU242" s="464" t="s">
        <v>568</v>
      </c>
      <c r="AV242" s="460" t="s">
        <v>36</v>
      </c>
      <c r="AW242" s="453" t="s">
        <v>1431</v>
      </c>
      <c r="BA242" s="464" t="str">
        <f>_xlfn.XLOOKUP(B242,'School List from APT'!A:A,'School List from APT'!C:C,"",FALSE)</f>
        <v/>
      </c>
    </row>
    <row r="243" spans="1:53" x14ac:dyDescent="0.25">
      <c r="A243" s="453" t="s">
        <v>570</v>
      </c>
      <c r="B243" s="453">
        <v>7037</v>
      </c>
      <c r="C243" s="453">
        <v>7037</v>
      </c>
      <c r="D243" s="453" t="s">
        <v>571</v>
      </c>
      <c r="E243" s="453"/>
      <c r="F243" s="454" t="s">
        <v>857</v>
      </c>
      <c r="G243" s="454" t="s">
        <v>36</v>
      </c>
      <c r="H243" s="451">
        <v>-361240.11967501882</v>
      </c>
      <c r="I243" s="451">
        <v>0</v>
      </c>
      <c r="J243" s="455">
        <v>-361240.11967501882</v>
      </c>
      <c r="K243" s="451">
        <v>652019.90967501886</v>
      </c>
      <c r="L243" s="451">
        <v>67537.666666666657</v>
      </c>
      <c r="M243" s="451"/>
      <c r="N243" s="451">
        <v>719557.57634168549</v>
      </c>
      <c r="O243" s="451">
        <v>0</v>
      </c>
      <c r="P243" s="451">
        <v>0</v>
      </c>
      <c r="Q243" s="451">
        <v>0</v>
      </c>
      <c r="R243" s="451">
        <v>0</v>
      </c>
      <c r="S243" s="451">
        <v>0</v>
      </c>
      <c r="T243" s="451">
        <v>719557.57634168549</v>
      </c>
      <c r="U243" s="451">
        <v>0</v>
      </c>
      <c r="V243" s="451">
        <v>358317.45666666667</v>
      </c>
      <c r="W243" s="451">
        <v>412811.76</v>
      </c>
      <c r="X243" s="451">
        <v>0</v>
      </c>
      <c r="Y243" s="451"/>
      <c r="Z243" s="451"/>
      <c r="AA243" s="456"/>
      <c r="AB243" s="451">
        <v>412811.76</v>
      </c>
      <c r="AC243" s="451">
        <v>-54494.303333333344</v>
      </c>
      <c r="AD243" s="451">
        <v>0</v>
      </c>
      <c r="AE243" s="457">
        <v>-54494.303333333344</v>
      </c>
      <c r="AF243" s="451">
        <v>306745.81634168548</v>
      </c>
      <c r="AG243" s="451">
        <v>-361240.11967501882</v>
      </c>
      <c r="AH243" s="451">
        <v>0</v>
      </c>
      <c r="AI243" s="451">
        <v>0</v>
      </c>
      <c r="AJ243" s="451">
        <v>0</v>
      </c>
      <c r="AK243" s="462"/>
      <c r="AL243" s="453" t="s">
        <v>1432</v>
      </c>
      <c r="AM243" s="451">
        <v>-54494.303333333344</v>
      </c>
      <c r="AN243" s="453" t="s">
        <v>1432</v>
      </c>
      <c r="AO243" s="453">
        <v>20</v>
      </c>
      <c r="AP243" s="453">
        <v>21</v>
      </c>
      <c r="AQ243" s="458">
        <v>-7.5733068659201291E-2</v>
      </c>
      <c r="AR243" s="453"/>
      <c r="AS243" s="459" t="s">
        <v>104</v>
      </c>
      <c r="AT243" s="453" t="s">
        <v>104</v>
      </c>
      <c r="AU243" s="453" t="s">
        <v>570</v>
      </c>
      <c r="AV243" s="460" t="s">
        <v>36</v>
      </c>
      <c r="AW243" s="453" t="s">
        <v>1433</v>
      </c>
      <c r="AX243" s="453"/>
      <c r="AY243" s="453"/>
      <c r="BA243" s="464" t="str">
        <f>_xlfn.XLOOKUP(B243,'School List from APT'!A:A,'School List from APT'!C:C,"",FALSE)</f>
        <v/>
      </c>
    </row>
    <row r="244" spans="1:53" x14ac:dyDescent="0.25">
      <c r="A244" s="453" t="s">
        <v>572</v>
      </c>
      <c r="B244" s="453">
        <v>7047</v>
      </c>
      <c r="C244" s="453">
        <v>7047</v>
      </c>
      <c r="D244" s="453" t="s">
        <v>573</v>
      </c>
      <c r="F244" s="454" t="s">
        <v>538</v>
      </c>
      <c r="G244" s="454" t="s">
        <v>36</v>
      </c>
      <c r="H244" s="451">
        <v>-77412.167023439426</v>
      </c>
      <c r="I244" s="451">
        <v>0</v>
      </c>
      <c r="J244" s="455">
        <v>-77412.167023439426</v>
      </c>
      <c r="K244" s="451">
        <v>2508725.8202451179</v>
      </c>
      <c r="L244" s="451">
        <v>194423.3125</v>
      </c>
      <c r="M244" s="451"/>
      <c r="N244" s="451">
        <v>2703149.1327451179</v>
      </c>
      <c r="O244" s="451">
        <v>0</v>
      </c>
      <c r="P244" s="451">
        <v>0</v>
      </c>
      <c r="Q244" s="451">
        <v>0</v>
      </c>
      <c r="R244" s="451">
        <v>0</v>
      </c>
      <c r="S244" s="451">
        <v>0</v>
      </c>
      <c r="T244" s="451">
        <v>2703149.1327451179</v>
      </c>
      <c r="U244" s="451">
        <v>0</v>
      </c>
      <c r="V244" s="451">
        <v>2625736.9657216785</v>
      </c>
      <c r="W244" s="451">
        <v>2580735.81</v>
      </c>
      <c r="X244" s="451">
        <v>-13525.48</v>
      </c>
      <c r="Y244" s="451"/>
      <c r="Z244" s="451"/>
      <c r="AA244" s="456"/>
      <c r="AB244" s="451">
        <v>2567210.33</v>
      </c>
      <c r="AC244" s="451">
        <v>58526.63572167838</v>
      </c>
      <c r="AD244" s="451">
        <v>0</v>
      </c>
      <c r="AE244" s="457">
        <v>58526.63572167838</v>
      </c>
      <c r="AF244" s="451">
        <v>135938.80274511781</v>
      </c>
      <c r="AG244" s="451">
        <v>-77412.167023439426</v>
      </c>
      <c r="AH244" s="451">
        <v>0</v>
      </c>
      <c r="AI244" s="451">
        <v>0</v>
      </c>
      <c r="AJ244" s="451">
        <v>0</v>
      </c>
      <c r="AK244" s="462"/>
      <c r="AL244" s="453" t="s">
        <v>108</v>
      </c>
      <c r="AM244" s="451">
        <v>58526.63572167838</v>
      </c>
      <c r="AN244" s="453" t="s">
        <v>108</v>
      </c>
      <c r="AO244" s="453">
        <v>18</v>
      </c>
      <c r="AP244" s="453">
        <v>18</v>
      </c>
      <c r="AQ244" s="458">
        <v>2.1651278877922311E-2</v>
      </c>
      <c r="AS244" s="459" t="s">
        <v>104</v>
      </c>
      <c r="AT244" s="453" t="s">
        <v>104</v>
      </c>
      <c r="AU244" s="464" t="s">
        <v>572</v>
      </c>
      <c r="AV244" s="460" t="s">
        <v>36</v>
      </c>
      <c r="AW244" s="453" t="s">
        <v>1430</v>
      </c>
      <c r="BA244" s="464" t="str">
        <f>_xlfn.XLOOKUP(B244,'School List from APT'!A:A,'School List from APT'!C:C,"",FALSE)</f>
        <v/>
      </c>
    </row>
    <row r="245" spans="1:53" x14ac:dyDescent="0.25">
      <c r="A245" s="453" t="s">
        <v>574</v>
      </c>
      <c r="B245" s="453">
        <v>7014</v>
      </c>
      <c r="C245" s="453">
        <v>7014</v>
      </c>
      <c r="D245" s="453" t="s">
        <v>575</v>
      </c>
      <c r="F245" s="454" t="s">
        <v>538</v>
      </c>
      <c r="G245" s="454" t="s">
        <v>107</v>
      </c>
      <c r="H245" s="451">
        <v>1127943.3517006291</v>
      </c>
      <c r="I245" s="451">
        <v>-260000.00170062913</v>
      </c>
      <c r="J245" s="455">
        <v>867943.35</v>
      </c>
      <c r="K245" s="451">
        <v>5907825.3594082277</v>
      </c>
      <c r="L245" s="451">
        <v>337305.6875</v>
      </c>
      <c r="M245" s="451"/>
      <c r="N245" s="451">
        <v>6245131.0469082277</v>
      </c>
      <c r="O245" s="451">
        <v>991480</v>
      </c>
      <c r="P245" s="451">
        <v>0</v>
      </c>
      <c r="Q245" s="451">
        <v>0</v>
      </c>
      <c r="R245" s="451">
        <v>1351.76</v>
      </c>
      <c r="S245" s="451">
        <v>992831.76</v>
      </c>
      <c r="T245" s="451">
        <v>7237962.8069082275</v>
      </c>
      <c r="U245" s="451">
        <v>0</v>
      </c>
      <c r="V245" s="451">
        <v>8105906.1569082271</v>
      </c>
      <c r="W245" s="451">
        <v>5623522.0199999996</v>
      </c>
      <c r="X245" s="451">
        <v>0</v>
      </c>
      <c r="Y245" s="451"/>
      <c r="Z245" s="451"/>
      <c r="AA245" s="456"/>
      <c r="AB245" s="451">
        <v>5623522.0199999996</v>
      </c>
      <c r="AC245" s="451">
        <v>2482384.1369082276</v>
      </c>
      <c r="AD245" s="451">
        <v>0</v>
      </c>
      <c r="AE245" s="457">
        <v>2482384.1369082276</v>
      </c>
      <c r="AF245" s="451">
        <v>1614440.7869082275</v>
      </c>
      <c r="AG245" s="451">
        <v>867943.35</v>
      </c>
      <c r="AH245" s="451">
        <v>0</v>
      </c>
      <c r="AI245" s="451">
        <v>0</v>
      </c>
      <c r="AJ245" s="451">
        <v>0</v>
      </c>
      <c r="AK245" s="462"/>
      <c r="AL245" s="453" t="s">
        <v>108</v>
      </c>
      <c r="AM245" s="451">
        <v>2482384.1369082276</v>
      </c>
      <c r="AN245" s="453" t="s">
        <v>108</v>
      </c>
      <c r="AO245" s="453">
        <v>1</v>
      </c>
      <c r="AP245" s="453">
        <v>1</v>
      </c>
      <c r="AQ245" s="458">
        <v>0.34296724135400802</v>
      </c>
      <c r="AS245" s="459" t="s">
        <v>104</v>
      </c>
      <c r="AT245" s="453" t="s">
        <v>109</v>
      </c>
      <c r="AU245" s="464" t="s">
        <v>574</v>
      </c>
      <c r="AV245" s="460" t="s">
        <v>36</v>
      </c>
      <c r="AW245" s="453" t="s">
        <v>1431</v>
      </c>
      <c r="BA245" s="464" t="str">
        <f>_xlfn.XLOOKUP(B245,'School List from APT'!A:A,'School List from APT'!C:C,"",FALSE)</f>
        <v/>
      </c>
    </row>
    <row r="246" spans="1:53" x14ac:dyDescent="0.25">
      <c r="A246" s="453" t="s">
        <v>576</v>
      </c>
      <c r="B246" s="453">
        <v>7009</v>
      </c>
      <c r="C246" s="453">
        <v>7009</v>
      </c>
      <c r="D246" s="453" t="s">
        <v>577</v>
      </c>
      <c r="F246" s="454" t="s">
        <v>538</v>
      </c>
      <c r="G246" s="454" t="s">
        <v>107</v>
      </c>
      <c r="H246" s="451">
        <v>1017914.8757774904</v>
      </c>
      <c r="I246" s="451">
        <v>-69824.405777490465</v>
      </c>
      <c r="J246" s="455">
        <v>948090.47</v>
      </c>
      <c r="K246" s="451">
        <v>5081906.1235589851</v>
      </c>
      <c r="L246" s="451">
        <v>421164</v>
      </c>
      <c r="M246" s="451"/>
      <c r="N246" s="451">
        <v>5503070.1235589851</v>
      </c>
      <c r="O246" s="451">
        <v>230559</v>
      </c>
      <c r="P246" s="451">
        <v>0</v>
      </c>
      <c r="Q246" s="451">
        <v>0</v>
      </c>
      <c r="R246" s="451">
        <v>2534.56</v>
      </c>
      <c r="S246" s="451">
        <v>233093.56</v>
      </c>
      <c r="T246" s="451">
        <v>5736163.6835589847</v>
      </c>
      <c r="U246" s="451">
        <v>0</v>
      </c>
      <c r="V246" s="451">
        <v>6684254.1535589844</v>
      </c>
      <c r="W246" s="451">
        <v>5393221.3499999996</v>
      </c>
      <c r="X246" s="451">
        <v>0</v>
      </c>
      <c r="Y246" s="451"/>
      <c r="Z246" s="451"/>
      <c r="AA246" s="493"/>
      <c r="AB246" s="451">
        <v>5393221.3499999996</v>
      </c>
      <c r="AC246" s="451">
        <v>1291032.8035589848</v>
      </c>
      <c r="AD246" s="451">
        <v>0</v>
      </c>
      <c r="AE246" s="457">
        <v>1291032.8035589848</v>
      </c>
      <c r="AF246" s="451">
        <v>342942.3335589848</v>
      </c>
      <c r="AG246" s="451">
        <v>948090.47</v>
      </c>
      <c r="AH246" s="451">
        <v>0</v>
      </c>
      <c r="AI246" s="451">
        <v>0</v>
      </c>
      <c r="AJ246" s="451">
        <v>0</v>
      </c>
      <c r="AK246" s="462"/>
      <c r="AL246" s="453" t="s">
        <v>108</v>
      </c>
      <c r="AM246" s="451">
        <v>1291032.8035589848</v>
      </c>
      <c r="AN246" s="453" t="s">
        <v>108</v>
      </c>
      <c r="AO246" s="453">
        <v>2</v>
      </c>
      <c r="AP246" s="453">
        <v>5</v>
      </c>
      <c r="AQ246" s="458">
        <v>0.22506903128642375</v>
      </c>
      <c r="AS246" s="459" t="s">
        <v>104</v>
      </c>
      <c r="AT246" s="453" t="s">
        <v>109</v>
      </c>
      <c r="AU246" s="464" t="s">
        <v>576</v>
      </c>
      <c r="AV246" s="460" t="s">
        <v>36</v>
      </c>
      <c r="AW246" s="453" t="s">
        <v>1431</v>
      </c>
      <c r="BA246" s="464" t="str">
        <f>_xlfn.XLOOKUP(B246,'School List from APT'!A:A,'School List from APT'!C:C,"",FALSE)</f>
        <v/>
      </c>
    </row>
    <row r="247" spans="1:53" x14ac:dyDescent="0.25">
      <c r="A247" s="453" t="s">
        <v>578</v>
      </c>
      <c r="B247" s="453">
        <v>1100</v>
      </c>
      <c r="C247" s="453">
        <v>1100</v>
      </c>
      <c r="D247" s="453" t="s">
        <v>579</v>
      </c>
      <c r="F247" s="454" t="s">
        <v>538</v>
      </c>
      <c r="G247" s="454" t="s">
        <v>36</v>
      </c>
      <c r="H247" s="451">
        <v>304319.61341604864</v>
      </c>
      <c r="I247" s="451">
        <v>0</v>
      </c>
      <c r="J247" s="455">
        <v>304319.61341604864</v>
      </c>
      <c r="K247" s="451">
        <v>7425545.5329999998</v>
      </c>
      <c r="L247" s="451">
        <v>819485.125</v>
      </c>
      <c r="M247" s="451"/>
      <c r="N247" s="451">
        <v>8245030.6579999998</v>
      </c>
      <c r="O247" s="451">
        <v>12000</v>
      </c>
      <c r="P247" s="451">
        <v>0</v>
      </c>
      <c r="Q247" s="451">
        <v>0</v>
      </c>
      <c r="R247" s="451">
        <v>0</v>
      </c>
      <c r="S247" s="451">
        <v>12000</v>
      </c>
      <c r="T247" s="451">
        <v>8257030.6579999998</v>
      </c>
      <c r="U247" s="451">
        <v>0</v>
      </c>
      <c r="V247" s="451">
        <v>8561350.2714160476</v>
      </c>
      <c r="W247" s="451">
        <v>8364743.8600000003</v>
      </c>
      <c r="X247" s="451">
        <v>-94920.59</v>
      </c>
      <c r="Y247" s="451"/>
      <c r="Z247" s="451"/>
      <c r="AA247" s="456"/>
      <c r="AB247" s="451">
        <v>8269823.2700000005</v>
      </c>
      <c r="AC247" s="451">
        <v>291527.0014160471</v>
      </c>
      <c r="AD247" s="451">
        <v>408.13780198246593</v>
      </c>
      <c r="AE247" s="457">
        <v>291935.13921802957</v>
      </c>
      <c r="AF247" s="451">
        <v>-12384.474198019074</v>
      </c>
      <c r="AG247" s="451">
        <v>304319.61341604864</v>
      </c>
      <c r="AH247" s="451">
        <v>291527.0014160471</v>
      </c>
      <c r="AI247" s="451">
        <v>412251.53289999999</v>
      </c>
      <c r="AJ247" s="451">
        <v>408.13780198246593</v>
      </c>
      <c r="AL247" s="453" t="s">
        <v>108</v>
      </c>
      <c r="AM247" s="451">
        <v>291935.13921802957</v>
      </c>
      <c r="AN247" s="453" t="s">
        <v>108</v>
      </c>
      <c r="AO247" s="453">
        <v>12</v>
      </c>
      <c r="AP247" s="453">
        <v>17</v>
      </c>
      <c r="AQ247" s="458">
        <v>3.535594710856281E-2</v>
      </c>
      <c r="AS247" s="459" t="s">
        <v>104</v>
      </c>
      <c r="AT247" s="453" t="s">
        <v>104</v>
      </c>
      <c r="AU247" s="464" t="s">
        <v>578</v>
      </c>
      <c r="AV247" s="460" t="s">
        <v>36</v>
      </c>
      <c r="AW247" s="453" t="s">
        <v>1430</v>
      </c>
      <c r="BA247" s="464" t="str">
        <f>_xlfn.XLOOKUP(B247,'School List from APT'!A:A,'School List from APT'!C:C,"",FALSE)</f>
        <v/>
      </c>
    </row>
    <row r="248" spans="1:53" x14ac:dyDescent="0.25">
      <c r="A248" s="453"/>
      <c r="B248" s="453"/>
      <c r="C248" s="453"/>
      <c r="D248" s="453"/>
      <c r="E248" s="453"/>
      <c r="F248" s="454"/>
      <c r="G248" s="454"/>
      <c r="H248" s="451"/>
      <c r="I248" s="451"/>
      <c r="J248" s="455"/>
      <c r="K248" s="451"/>
      <c r="L248" s="451"/>
      <c r="M248" s="451"/>
      <c r="N248" s="451"/>
      <c r="O248" s="451"/>
      <c r="P248" s="451"/>
      <c r="Q248" s="451"/>
      <c r="R248" s="451"/>
      <c r="S248" s="451"/>
      <c r="T248" s="451"/>
      <c r="U248" s="451"/>
      <c r="V248" s="451"/>
      <c r="W248" s="451"/>
      <c r="X248" s="451"/>
      <c r="Y248" s="451"/>
      <c r="Z248" s="451"/>
      <c r="AA248" s="456"/>
      <c r="AB248" s="451"/>
      <c r="AC248" s="451"/>
      <c r="AD248" s="451"/>
      <c r="AE248" s="457"/>
      <c r="AF248" s="451"/>
      <c r="AG248" s="451"/>
      <c r="AH248" s="451"/>
      <c r="AI248" s="451"/>
      <c r="AJ248" s="451"/>
      <c r="AK248" s="453"/>
      <c r="AL248" s="453"/>
      <c r="AM248" s="451"/>
      <c r="AN248" s="453"/>
      <c r="AO248" s="453"/>
      <c r="AP248" s="453"/>
      <c r="AQ248" s="458"/>
      <c r="AR248" s="453"/>
      <c r="AS248" s="459"/>
      <c r="AT248" s="453"/>
      <c r="AU248" s="453">
        <v>0</v>
      </c>
      <c r="AV248" s="460">
        <v>0</v>
      </c>
      <c r="AW248" s="453"/>
      <c r="AX248" s="453"/>
      <c r="AY248" s="453"/>
    </row>
    <row r="249" spans="1:53" x14ac:dyDescent="0.25">
      <c r="A249" s="453"/>
      <c r="B249" s="453"/>
      <c r="C249" s="453"/>
      <c r="D249" s="453"/>
      <c r="E249" s="453"/>
      <c r="F249" s="454"/>
      <c r="G249" s="454"/>
      <c r="H249" s="451"/>
      <c r="I249" s="451"/>
      <c r="J249" s="455"/>
      <c r="K249" s="451"/>
      <c r="L249" s="451"/>
      <c r="M249" s="451"/>
      <c r="N249" s="451"/>
      <c r="O249" s="451"/>
      <c r="P249" s="451"/>
      <c r="Q249" s="451"/>
      <c r="R249" s="451"/>
      <c r="S249" s="451"/>
      <c r="T249" s="451"/>
      <c r="U249" s="451"/>
      <c r="V249" s="451"/>
      <c r="W249" s="451"/>
      <c r="X249" s="451"/>
      <c r="Y249" s="451"/>
      <c r="Z249" s="451"/>
      <c r="AA249" s="461"/>
      <c r="AB249" s="451"/>
      <c r="AC249" s="451"/>
      <c r="AD249" s="451"/>
      <c r="AE249" s="457"/>
      <c r="AF249" s="451"/>
      <c r="AG249" s="451"/>
      <c r="AH249" s="451"/>
      <c r="AI249" s="451"/>
      <c r="AJ249" s="451"/>
      <c r="AK249" s="462"/>
      <c r="AL249" s="453"/>
      <c r="AM249" s="451"/>
      <c r="AN249" s="453"/>
      <c r="AO249" s="453"/>
      <c r="AP249" s="453"/>
      <c r="AQ249" s="458"/>
      <c r="AR249" s="453"/>
      <c r="AS249" s="459"/>
      <c r="AT249" s="453"/>
      <c r="AU249" s="453"/>
      <c r="AV249" s="460"/>
      <c r="AW249" s="453"/>
      <c r="AX249" s="453"/>
      <c r="AY249" s="453"/>
    </row>
    <row r="250" spans="1:53" x14ac:dyDescent="0.25">
      <c r="A250" s="453"/>
      <c r="B250" s="453"/>
      <c r="C250" s="453"/>
      <c r="D250" s="453"/>
      <c r="E250" s="453"/>
      <c r="F250" s="454"/>
      <c r="G250" s="454"/>
      <c r="H250" s="451"/>
      <c r="I250" s="451"/>
      <c r="J250" s="455"/>
      <c r="K250" s="451"/>
      <c r="L250" s="451"/>
      <c r="M250" s="451"/>
      <c r="N250" s="451"/>
      <c r="O250" s="451"/>
      <c r="P250" s="451"/>
      <c r="Q250" s="451"/>
      <c r="R250" s="451"/>
      <c r="S250" s="451"/>
      <c r="T250" s="451"/>
      <c r="U250" s="451"/>
      <c r="V250" s="451"/>
      <c r="W250" s="451"/>
      <c r="X250" s="451"/>
      <c r="Y250" s="451"/>
      <c r="Z250" s="451"/>
      <c r="AA250" s="461"/>
      <c r="AB250" s="451"/>
      <c r="AC250" s="451"/>
      <c r="AD250" s="451"/>
      <c r="AE250" s="457"/>
      <c r="AF250" s="451"/>
      <c r="AG250" s="451"/>
      <c r="AH250" s="451"/>
      <c r="AI250" s="451"/>
      <c r="AJ250" s="451"/>
      <c r="AK250" s="453"/>
      <c r="AL250" s="453"/>
      <c r="AM250" s="451"/>
      <c r="AN250" s="453"/>
      <c r="AO250" s="453"/>
      <c r="AP250" s="453"/>
      <c r="AQ250" s="458"/>
      <c r="AR250" s="453"/>
      <c r="AS250" s="459"/>
      <c r="AT250" s="453"/>
      <c r="AU250" s="453"/>
      <c r="AV250" s="460"/>
      <c r="AW250" s="453"/>
      <c r="AX250" s="453"/>
      <c r="AY250" s="453"/>
    </row>
    <row r="251" spans="1:53" x14ac:dyDescent="0.25">
      <c r="A251" s="453"/>
      <c r="B251" s="453"/>
      <c r="C251" s="453"/>
      <c r="D251" s="453"/>
      <c r="E251" s="453"/>
      <c r="F251" s="454"/>
      <c r="G251" s="454"/>
      <c r="H251" s="451"/>
      <c r="I251" s="451"/>
      <c r="J251" s="455"/>
      <c r="K251" s="451"/>
      <c r="L251" s="451"/>
      <c r="M251" s="451"/>
      <c r="N251" s="451"/>
      <c r="O251" s="451"/>
      <c r="P251" s="451"/>
      <c r="Q251" s="451"/>
      <c r="R251" s="451"/>
      <c r="S251" s="451"/>
      <c r="T251" s="451"/>
      <c r="U251" s="451"/>
      <c r="V251" s="451"/>
      <c r="W251" s="451"/>
      <c r="X251" s="451"/>
      <c r="Y251" s="451"/>
      <c r="Z251" s="451"/>
      <c r="AA251" s="461"/>
      <c r="AB251" s="451"/>
      <c r="AC251" s="451"/>
      <c r="AD251" s="451"/>
      <c r="AE251" s="457"/>
      <c r="AF251" s="451"/>
      <c r="AG251" s="451"/>
      <c r="AH251" s="451"/>
      <c r="AI251" s="451"/>
      <c r="AJ251" s="451"/>
      <c r="AK251" s="462"/>
      <c r="AL251" s="453"/>
      <c r="AM251" s="451"/>
      <c r="AN251" s="453"/>
      <c r="AO251" s="453"/>
      <c r="AP251" s="453"/>
      <c r="AQ251" s="458"/>
      <c r="AR251" s="453"/>
      <c r="AS251" s="459"/>
      <c r="AT251" s="453"/>
      <c r="AU251" s="453"/>
      <c r="AV251" s="460"/>
      <c r="AW251" s="453"/>
      <c r="AX251" s="453"/>
      <c r="AY251" s="453"/>
    </row>
    <row r="252" spans="1:53" x14ac:dyDescent="0.25">
      <c r="A252" s="453"/>
      <c r="B252" s="453"/>
      <c r="C252" s="453"/>
      <c r="D252" s="453"/>
      <c r="E252" s="453"/>
      <c r="F252" s="454"/>
      <c r="G252" s="454"/>
      <c r="H252" s="451"/>
      <c r="I252" s="451"/>
      <c r="J252" s="455"/>
      <c r="K252" s="451"/>
      <c r="L252" s="451"/>
      <c r="M252" s="451"/>
      <c r="N252" s="451"/>
      <c r="O252" s="451"/>
      <c r="P252" s="451"/>
      <c r="Q252" s="451"/>
      <c r="R252" s="451"/>
      <c r="S252" s="451"/>
      <c r="T252" s="451"/>
      <c r="U252" s="451"/>
      <c r="V252" s="451"/>
      <c r="W252" s="451"/>
      <c r="X252" s="451"/>
      <c r="Y252" s="451"/>
      <c r="Z252" s="451"/>
      <c r="AA252" s="461"/>
      <c r="AB252" s="451"/>
      <c r="AC252" s="451"/>
      <c r="AD252" s="451"/>
      <c r="AE252" s="457"/>
      <c r="AF252" s="451"/>
      <c r="AG252" s="451"/>
      <c r="AH252" s="451"/>
      <c r="AI252" s="451"/>
      <c r="AJ252" s="451"/>
      <c r="AK252" s="462"/>
      <c r="AL252" s="453"/>
      <c r="AM252" s="451"/>
      <c r="AN252" s="453"/>
      <c r="AO252" s="453"/>
      <c r="AP252" s="453"/>
      <c r="AQ252" s="458"/>
      <c r="AR252" s="453"/>
      <c r="AS252" s="459"/>
      <c r="AT252" s="453"/>
      <c r="AU252" s="453"/>
      <c r="AV252" s="460"/>
      <c r="AW252" s="453"/>
      <c r="AX252" s="453"/>
      <c r="AY252" s="453"/>
    </row>
    <row r="253" spans="1:53" x14ac:dyDescent="0.25">
      <c r="A253" s="453"/>
      <c r="B253" s="453"/>
      <c r="C253" s="453"/>
      <c r="D253" s="453"/>
      <c r="E253" s="453"/>
      <c r="F253" s="454"/>
      <c r="G253" s="454"/>
      <c r="H253" s="451"/>
      <c r="I253" s="451"/>
      <c r="J253" s="455"/>
      <c r="K253" s="451"/>
      <c r="L253" s="451"/>
      <c r="M253" s="451"/>
      <c r="N253" s="451"/>
      <c r="O253" s="451"/>
      <c r="P253" s="451"/>
      <c r="Q253" s="451"/>
      <c r="R253" s="451"/>
      <c r="S253" s="451"/>
      <c r="T253" s="451"/>
      <c r="U253" s="451"/>
      <c r="V253" s="451"/>
      <c r="W253" s="451"/>
      <c r="X253" s="451"/>
      <c r="Y253" s="451"/>
      <c r="Z253" s="451"/>
      <c r="AA253" s="461"/>
      <c r="AB253" s="451"/>
      <c r="AC253" s="451"/>
      <c r="AD253" s="451"/>
      <c r="AE253" s="457"/>
      <c r="AF253" s="451"/>
      <c r="AG253" s="451"/>
      <c r="AH253" s="451"/>
      <c r="AI253" s="451"/>
      <c r="AJ253" s="451"/>
      <c r="AK253" s="462"/>
      <c r="AL253" s="453"/>
      <c r="AM253" s="451"/>
      <c r="AN253" s="453"/>
      <c r="AO253" s="453"/>
      <c r="AP253" s="453"/>
      <c r="AQ253" s="458"/>
      <c r="AR253" s="453"/>
      <c r="AS253" s="459"/>
      <c r="AT253" s="453"/>
      <c r="AU253" s="453"/>
      <c r="AV253" s="460"/>
      <c r="AW253" s="453"/>
      <c r="AX253" s="453"/>
      <c r="AY253" s="453"/>
    </row>
    <row r="254" spans="1:53" x14ac:dyDescent="0.25">
      <c r="A254" s="453"/>
      <c r="B254" s="453"/>
      <c r="C254" s="453"/>
      <c r="D254" s="453"/>
      <c r="E254" s="453"/>
      <c r="F254" s="454"/>
      <c r="G254" s="454"/>
      <c r="H254" s="451"/>
      <c r="I254" s="451"/>
      <c r="J254" s="455"/>
      <c r="K254" s="451"/>
      <c r="L254" s="451"/>
      <c r="M254" s="451"/>
      <c r="N254" s="451"/>
      <c r="O254" s="451"/>
      <c r="P254" s="451"/>
      <c r="Q254" s="451"/>
      <c r="R254" s="451"/>
      <c r="S254" s="451"/>
      <c r="T254" s="451"/>
      <c r="U254" s="451"/>
      <c r="V254" s="451"/>
      <c r="W254" s="451"/>
      <c r="X254" s="451"/>
      <c r="Y254" s="451"/>
      <c r="Z254" s="451"/>
      <c r="AA254" s="461"/>
      <c r="AB254" s="451"/>
      <c r="AC254" s="451"/>
      <c r="AD254" s="451"/>
      <c r="AE254" s="457"/>
      <c r="AF254" s="451"/>
      <c r="AG254" s="451"/>
      <c r="AH254" s="451"/>
      <c r="AI254" s="451"/>
      <c r="AJ254" s="451"/>
      <c r="AK254" s="462"/>
      <c r="AL254" s="453"/>
      <c r="AM254" s="451"/>
      <c r="AN254" s="453"/>
      <c r="AO254" s="453"/>
      <c r="AP254" s="453"/>
      <c r="AQ254" s="458"/>
      <c r="AR254" s="453"/>
      <c r="AS254" s="459"/>
      <c r="AT254" s="453"/>
      <c r="AU254" s="453"/>
      <c r="AV254" s="460"/>
      <c r="AW254" s="453"/>
      <c r="AX254" s="453"/>
      <c r="AY254" s="463"/>
    </row>
    <row r="255" spans="1:53" x14ac:dyDescent="0.25">
      <c r="A255" s="453">
        <v>235</v>
      </c>
      <c r="H255" s="451"/>
      <c r="I255" s="451"/>
      <c r="J255" s="455"/>
      <c r="K255" s="451"/>
      <c r="L255" s="451"/>
      <c r="M255" s="451"/>
      <c r="N255" s="451"/>
      <c r="O255" s="451"/>
      <c r="P255" s="451"/>
      <c r="Q255" s="451"/>
      <c r="R255" s="451"/>
      <c r="S255" s="451"/>
      <c r="T255" s="451"/>
      <c r="U255" s="451"/>
      <c r="V255" s="451"/>
      <c r="W255" s="451"/>
      <c r="X255" s="451"/>
      <c r="Y255" s="451"/>
      <c r="Z255" s="451"/>
      <c r="AA255" s="451"/>
      <c r="AB255" s="451"/>
      <c r="AC255" s="451"/>
      <c r="AD255" s="451"/>
      <c r="AE255" s="457"/>
      <c r="AF255" s="497"/>
      <c r="AG255" s="451"/>
      <c r="AH255" s="451"/>
      <c r="AI255" s="451"/>
      <c r="AJ255" s="451"/>
    </row>
    <row r="256" spans="1:53" x14ac:dyDescent="0.25">
      <c r="D256" s="453" t="s">
        <v>38</v>
      </c>
      <c r="H256" s="451">
        <v>76433131.92075339</v>
      </c>
      <c r="I256" s="451">
        <v>-314559.46110159875</v>
      </c>
      <c r="J256" s="451">
        <v>76118572.459651753</v>
      </c>
      <c r="K256" s="451">
        <v>472549593.62515783</v>
      </c>
      <c r="L256" s="451">
        <v>59613414.577500001</v>
      </c>
      <c r="M256" s="451">
        <v>-1462205.5414866682</v>
      </c>
      <c r="N256" s="451">
        <v>530700802.6611712</v>
      </c>
      <c r="O256" s="451">
        <v>11135711.431342738</v>
      </c>
      <c r="P256" s="451">
        <v>704781.65999999992</v>
      </c>
      <c r="Q256" s="451">
        <v>0</v>
      </c>
      <c r="R256" s="451">
        <v>302592.20999999996</v>
      </c>
      <c r="S256" s="451">
        <v>12143085.301342737</v>
      </c>
      <c r="T256" s="451">
        <v>542843887.96251392</v>
      </c>
      <c r="U256" s="451">
        <v>0</v>
      </c>
      <c r="V256" s="451">
        <v>618962460.42216611</v>
      </c>
      <c r="W256" s="451">
        <v>542380017.88</v>
      </c>
      <c r="X256" s="451">
        <v>-994739.94000000006</v>
      </c>
      <c r="Y256" s="451">
        <v>0</v>
      </c>
      <c r="Z256" s="451">
        <v>0</v>
      </c>
      <c r="AA256" s="451">
        <v>0</v>
      </c>
      <c r="AB256" s="451">
        <v>541385277.94000006</v>
      </c>
      <c r="AC256" s="451">
        <v>77577182.482165635</v>
      </c>
      <c r="AD256" s="451">
        <v>52282.385567474441</v>
      </c>
      <c r="AE256" s="451">
        <v>77629464.867733106</v>
      </c>
      <c r="AF256" s="451">
        <v>1510892.408081305</v>
      </c>
      <c r="AG256" s="451">
        <v>76118572.459651753</v>
      </c>
      <c r="AH256" s="451">
        <v>36930672.408997796</v>
      </c>
      <c r="AI256" s="451">
        <v>14671117.500366647</v>
      </c>
      <c r="AJ256" s="451">
        <v>51702.941372596899</v>
      </c>
      <c r="AK256" s="498"/>
      <c r="AQ256" s="451">
        <v>27</v>
      </c>
      <c r="AR256" s="451">
        <v>194</v>
      </c>
      <c r="AS256" s="452"/>
    </row>
    <row r="257" spans="3:44" x14ac:dyDescent="0.25">
      <c r="D257" s="452" t="s">
        <v>1434</v>
      </c>
      <c r="H257" s="451"/>
      <c r="I257" s="451"/>
      <c r="J257" s="455"/>
      <c r="K257" s="451"/>
      <c r="L257" s="451"/>
      <c r="M257" s="451"/>
      <c r="N257" s="451"/>
      <c r="O257" s="451"/>
      <c r="P257" s="451"/>
      <c r="Q257" s="451"/>
      <c r="R257" s="451"/>
      <c r="S257" s="451"/>
      <c r="T257" s="451"/>
      <c r="U257" s="451"/>
      <c r="V257" s="451"/>
      <c r="W257" s="451"/>
      <c r="X257" s="451"/>
      <c r="Y257" s="451"/>
      <c r="Z257" s="451"/>
      <c r="AA257" s="451"/>
      <c r="AB257" s="451"/>
      <c r="AC257" s="451"/>
      <c r="AD257" s="451"/>
      <c r="AE257" s="457"/>
      <c r="AF257" s="451"/>
      <c r="AG257" s="451"/>
      <c r="AH257" s="451"/>
      <c r="AI257" s="451"/>
      <c r="AJ257" s="451"/>
      <c r="AK257" s="462"/>
      <c r="AM257" s="472" t="s">
        <v>103</v>
      </c>
      <c r="AN257" s="472" t="s">
        <v>108</v>
      </c>
      <c r="AQ257" s="472" t="s">
        <v>103</v>
      </c>
      <c r="AR257" s="472" t="s">
        <v>108</v>
      </c>
    </row>
    <row r="258" spans="3:44" x14ac:dyDescent="0.25">
      <c r="D258" s="453" t="s">
        <v>1435</v>
      </c>
      <c r="F258" s="454">
        <v>27</v>
      </c>
      <c r="H258" s="451">
        <v>1546557.1363384018</v>
      </c>
      <c r="I258" s="451">
        <v>-24826.457955055899</v>
      </c>
      <c r="J258" s="451">
        <v>1521730.6783833459</v>
      </c>
      <c r="K258" s="451">
        <v>15175791.374086298</v>
      </c>
      <c r="L258" s="451">
        <v>588042.35</v>
      </c>
      <c r="M258" s="451">
        <v>-673747.63740482833</v>
      </c>
      <c r="N258" s="451">
        <v>15090086.086681468</v>
      </c>
      <c r="O258" s="451">
        <v>522010.25875000004</v>
      </c>
      <c r="P258" s="451">
        <v>0</v>
      </c>
      <c r="Q258" s="451">
        <v>0</v>
      </c>
      <c r="R258" s="451">
        <v>0</v>
      </c>
      <c r="S258" s="451">
        <v>522010.25875000004</v>
      </c>
      <c r="T258" s="451">
        <v>15612096.345431468</v>
      </c>
      <c r="U258" s="451">
        <v>0</v>
      </c>
      <c r="V258" s="451">
        <v>17133827.023814812</v>
      </c>
      <c r="W258" s="451">
        <v>16357119.060000002</v>
      </c>
      <c r="X258" s="451">
        <v>-34983.880000000005</v>
      </c>
      <c r="Y258" s="451">
        <v>0</v>
      </c>
      <c r="Z258" s="451">
        <v>0</v>
      </c>
      <c r="AA258" s="451">
        <v>0</v>
      </c>
      <c r="AB258" s="451">
        <v>16322135.180000003</v>
      </c>
      <c r="AC258" s="451">
        <v>811691.84381481376</v>
      </c>
      <c r="AD258" s="451">
        <v>2928.2107261768906</v>
      </c>
      <c r="AE258" s="499">
        <v>814620.0545409905</v>
      </c>
      <c r="AF258" s="451">
        <v>-707110.6238423551</v>
      </c>
      <c r="AG258" s="451">
        <v>1521730.6783833459</v>
      </c>
      <c r="AH258" s="451">
        <v>2091579.0901263508</v>
      </c>
      <c r="AI258" s="451">
        <v>374215.90394863882</v>
      </c>
      <c r="AJ258" s="451">
        <v>2928.2107261768906</v>
      </c>
      <c r="AK258" s="462"/>
      <c r="AL258" s="453">
        <v>10</v>
      </c>
      <c r="AM258" s="451">
        <v>-2098544.0296871532</v>
      </c>
      <c r="AN258" s="451">
        <v>2913164.0842281436</v>
      </c>
      <c r="AO258" s="453">
        <v>17</v>
      </c>
      <c r="AQ258" s="451">
        <v>10</v>
      </c>
      <c r="AR258" s="451">
        <v>17</v>
      </c>
    </row>
    <row r="259" spans="3:44" x14ac:dyDescent="0.25">
      <c r="C259" s="462"/>
      <c r="D259" s="453" t="s">
        <v>1436</v>
      </c>
      <c r="F259" s="454">
        <v>160</v>
      </c>
      <c r="H259" s="451">
        <v>46427752.826187484</v>
      </c>
      <c r="I259" s="451">
        <v>30282.025734507552</v>
      </c>
      <c r="J259" s="451">
        <v>46458034.851922005</v>
      </c>
      <c r="K259" s="451">
        <v>287310842.84589791</v>
      </c>
      <c r="L259" s="451">
        <v>43904749.527500004</v>
      </c>
      <c r="M259" s="451">
        <v>-754369.50651881506</v>
      </c>
      <c r="N259" s="451">
        <v>330461222.86687899</v>
      </c>
      <c r="O259" s="451">
        <v>7588393.1123979427</v>
      </c>
      <c r="P259" s="451">
        <v>416686.66</v>
      </c>
      <c r="Q259" s="451">
        <v>0</v>
      </c>
      <c r="R259" s="451">
        <v>0</v>
      </c>
      <c r="S259" s="451">
        <v>8005079.7723979428</v>
      </c>
      <c r="T259" s="451">
        <v>338466302.63927698</v>
      </c>
      <c r="U259" s="451">
        <v>0</v>
      </c>
      <c r="V259" s="451">
        <v>384924337.49119902</v>
      </c>
      <c r="W259" s="451">
        <v>342874492.11000013</v>
      </c>
      <c r="X259" s="451">
        <v>-683817.94000000006</v>
      </c>
      <c r="Y259" s="451">
        <v>0</v>
      </c>
      <c r="Z259" s="451">
        <v>0</v>
      </c>
      <c r="AA259" s="451">
        <v>0</v>
      </c>
      <c r="AB259" s="451">
        <v>342190674.17000008</v>
      </c>
      <c r="AC259" s="451">
        <v>42733663.32119894</v>
      </c>
      <c r="AD259" s="451">
        <v>41704.721790195479</v>
      </c>
      <c r="AE259" s="499">
        <v>42775368.042989142</v>
      </c>
      <c r="AF259" s="451">
        <v>-3682666.8089328636</v>
      </c>
      <c r="AG259" s="451">
        <v>46458034.851922005</v>
      </c>
      <c r="AH259" s="451">
        <v>28890296.656304076</v>
      </c>
      <c r="AI259" s="451">
        <v>11378679.258265188</v>
      </c>
      <c r="AJ259" s="451">
        <v>40446.415318825697</v>
      </c>
      <c r="AK259" s="462"/>
      <c r="AL259" s="453">
        <v>16</v>
      </c>
      <c r="AM259" s="451">
        <v>-2727735.6404329292</v>
      </c>
      <c r="AN259" s="451">
        <v>45503103.683422074</v>
      </c>
      <c r="AO259" s="453">
        <v>144</v>
      </c>
      <c r="AQ259" s="451">
        <v>16</v>
      </c>
      <c r="AR259" s="451">
        <v>144</v>
      </c>
    </row>
    <row r="260" spans="3:44" x14ac:dyDescent="0.25">
      <c r="D260" s="453" t="s">
        <v>1437</v>
      </c>
      <c r="F260" s="454">
        <v>16</v>
      </c>
      <c r="H260" s="451">
        <v>20996835.435414512</v>
      </c>
      <c r="I260" s="451">
        <v>22408.786446197133</v>
      </c>
      <c r="J260" s="451">
        <v>21019244.221860707</v>
      </c>
      <c r="K260" s="451">
        <v>100333799.30125554</v>
      </c>
      <c r="L260" s="451">
        <v>9072602.4499999993</v>
      </c>
      <c r="M260" s="451">
        <v>0</v>
      </c>
      <c r="N260" s="451">
        <v>109406401.75125554</v>
      </c>
      <c r="O260" s="451">
        <v>1012980.121694798</v>
      </c>
      <c r="P260" s="451">
        <v>288095</v>
      </c>
      <c r="Q260" s="451">
        <v>0</v>
      </c>
      <c r="R260" s="451">
        <v>281133</v>
      </c>
      <c r="S260" s="451">
        <v>1582208.1216947979</v>
      </c>
      <c r="T260" s="451">
        <v>110988609.87295035</v>
      </c>
      <c r="U260" s="451">
        <v>0</v>
      </c>
      <c r="V260" s="451">
        <v>132007854.09481105</v>
      </c>
      <c r="W260" s="451">
        <v>110276659.75</v>
      </c>
      <c r="X260" s="451">
        <v>-45475.13</v>
      </c>
      <c r="Y260" s="451">
        <v>0</v>
      </c>
      <c r="Z260" s="451">
        <v>0</v>
      </c>
      <c r="AA260" s="451">
        <v>0</v>
      </c>
      <c r="AB260" s="451">
        <v>110231184.62</v>
      </c>
      <c r="AC260" s="451">
        <v>21776669.474811044</v>
      </c>
      <c r="AD260" s="451">
        <v>1380.678257986413</v>
      </c>
      <c r="AE260" s="499">
        <v>21778050.15306903</v>
      </c>
      <c r="AF260" s="451">
        <v>758805.93120832229</v>
      </c>
      <c r="AG260" s="451">
        <v>21019244.221860707</v>
      </c>
      <c r="AH260" s="451">
        <v>986198.75570458069</v>
      </c>
      <c r="AI260" s="451">
        <v>721344.96078848827</v>
      </c>
      <c r="AJ260" s="451">
        <v>1380.678257986413</v>
      </c>
      <c r="AK260" s="462"/>
      <c r="AL260" s="453">
        <v>0</v>
      </c>
      <c r="AM260" s="451">
        <v>0</v>
      </c>
      <c r="AN260" s="451">
        <v>21778050.15306903</v>
      </c>
      <c r="AO260" s="453">
        <v>16</v>
      </c>
      <c r="AQ260" s="451">
        <v>0</v>
      </c>
      <c r="AR260" s="451">
        <v>16</v>
      </c>
    </row>
    <row r="261" spans="3:44" x14ac:dyDescent="0.25">
      <c r="D261" s="453" t="s">
        <v>1438</v>
      </c>
      <c r="F261" s="454">
        <v>18</v>
      </c>
      <c r="H261" s="451">
        <v>7280673.4647634476</v>
      </c>
      <c r="I261" s="451">
        <v>-342423.81532724755</v>
      </c>
      <c r="J261" s="451">
        <v>6938249.6494362</v>
      </c>
      <c r="K261" s="451">
        <v>61691822.903159544</v>
      </c>
      <c r="L261" s="451">
        <v>4933637.5</v>
      </c>
      <c r="M261" s="451">
        <v>0</v>
      </c>
      <c r="N261" s="451">
        <v>66625460.403159544</v>
      </c>
      <c r="O261" s="451">
        <v>1949264</v>
      </c>
      <c r="P261" s="451">
        <v>0</v>
      </c>
      <c r="Q261" s="451">
        <v>0</v>
      </c>
      <c r="R261" s="451">
        <v>21459.21</v>
      </c>
      <c r="S261" s="451">
        <v>1970723.21</v>
      </c>
      <c r="T261" s="451">
        <v>68596183.613159537</v>
      </c>
      <c r="U261" s="451">
        <v>0</v>
      </c>
      <c r="V261" s="451">
        <v>75534433.262595743</v>
      </c>
      <c r="W261" s="451">
        <v>64804999.550000004</v>
      </c>
      <c r="X261" s="451">
        <v>-193677.19</v>
      </c>
      <c r="Y261" s="451">
        <v>0</v>
      </c>
      <c r="Z261" s="451">
        <v>0</v>
      </c>
      <c r="AA261" s="451">
        <v>0</v>
      </c>
      <c r="AB261" s="451">
        <v>64611322.359999999</v>
      </c>
      <c r="AC261" s="451">
        <v>10923110.902595744</v>
      </c>
      <c r="AD261" s="451">
        <v>5521.3472537691487</v>
      </c>
      <c r="AE261" s="499">
        <v>10928632.249849513</v>
      </c>
      <c r="AF261" s="451">
        <v>3990382.6004133113</v>
      </c>
      <c r="AG261" s="451">
        <v>6938249.6494362</v>
      </c>
      <c r="AH261" s="451">
        <v>4428721.0930438489</v>
      </c>
      <c r="AI261" s="451">
        <v>1975576.0031878322</v>
      </c>
      <c r="AJ261" s="451">
        <v>6200.209530261388</v>
      </c>
      <c r="AK261" s="462"/>
      <c r="AL261" s="453">
        <v>1</v>
      </c>
      <c r="AM261" s="451">
        <v>-128968.43629438151</v>
      </c>
      <c r="AN261" s="451">
        <v>11057600.686143894</v>
      </c>
      <c r="AO261" s="453">
        <v>17</v>
      </c>
      <c r="AQ261" s="451">
        <v>1</v>
      </c>
      <c r="AR261" s="451">
        <v>17</v>
      </c>
    </row>
    <row r="262" spans="3:44" x14ac:dyDescent="0.25">
      <c r="D262" s="453" t="s">
        <v>580</v>
      </c>
      <c r="G262" s="454">
        <v>55</v>
      </c>
      <c r="H262" s="451">
        <v>39027110.278031528</v>
      </c>
      <c r="I262" s="451">
        <v>-314559.46110159875</v>
      </c>
      <c r="J262" s="451">
        <v>38712550.816929936</v>
      </c>
      <c r="K262" s="451">
        <v>171316528.95803076</v>
      </c>
      <c r="L262" s="451">
        <v>18992832.947499998</v>
      </c>
      <c r="M262" s="451">
        <v>-143592.97337103254</v>
      </c>
      <c r="N262" s="451">
        <v>190165768.93215975</v>
      </c>
      <c r="O262" s="451">
        <v>4672791.8277028948</v>
      </c>
      <c r="P262" s="451">
        <v>27525</v>
      </c>
      <c r="Q262" s="451">
        <v>0</v>
      </c>
      <c r="R262" s="451">
        <v>292200.53000000003</v>
      </c>
      <c r="S262" s="451">
        <v>4992517.3577028941</v>
      </c>
      <c r="T262" s="451">
        <v>195158286.28986263</v>
      </c>
      <c r="U262" s="451">
        <v>0</v>
      </c>
      <c r="V262" s="451">
        <v>233870837.10679257</v>
      </c>
      <c r="W262" s="451">
        <v>193838824.85999998</v>
      </c>
      <c r="X262" s="451">
        <v>-15039</v>
      </c>
      <c r="Y262" s="451">
        <v>0</v>
      </c>
      <c r="Z262" s="451">
        <v>0</v>
      </c>
      <c r="AA262" s="451">
        <v>0</v>
      </c>
      <c r="AB262" s="451">
        <v>193823785.85999998</v>
      </c>
      <c r="AC262" s="451">
        <v>40047051.24679257</v>
      </c>
      <c r="AD262" s="451">
        <v>0</v>
      </c>
      <c r="AE262" s="499">
        <v>40047051.24679257</v>
      </c>
      <c r="AF262" s="451">
        <v>1334500.4298626322</v>
      </c>
      <c r="AG262" s="451">
        <v>38712550.816929936</v>
      </c>
      <c r="AH262" s="451">
        <v>0</v>
      </c>
      <c r="AI262" s="451">
        <v>0</v>
      </c>
      <c r="AJ262" s="451">
        <v>0</v>
      </c>
      <c r="AM262" s="451">
        <v>-4955248.1064144643</v>
      </c>
      <c r="AN262" s="451">
        <v>81251918.606863141</v>
      </c>
      <c r="AO262" s="583" t="s">
        <v>1439</v>
      </c>
      <c r="AP262" s="583"/>
      <c r="AQ262" s="451">
        <v>27</v>
      </c>
      <c r="AR262" s="451">
        <v>194</v>
      </c>
    </row>
    <row r="263" spans="3:44" x14ac:dyDescent="0.25">
      <c r="D263" s="453" t="s">
        <v>1440</v>
      </c>
      <c r="F263" s="454">
        <v>14</v>
      </c>
      <c r="H263" s="451">
        <v>181313.05804951815</v>
      </c>
      <c r="I263" s="451">
        <v>0</v>
      </c>
      <c r="J263" s="451">
        <v>181313.05804951815</v>
      </c>
      <c r="K263" s="451">
        <v>8037337.2007585689</v>
      </c>
      <c r="L263" s="451">
        <v>1114382.75</v>
      </c>
      <c r="M263" s="451">
        <v>-34088.39756302521</v>
      </c>
      <c r="N263" s="451">
        <v>9117631.5531955436</v>
      </c>
      <c r="O263" s="451">
        <v>63063.938500000004</v>
      </c>
      <c r="P263" s="451">
        <v>0</v>
      </c>
      <c r="Q263" s="451">
        <v>0</v>
      </c>
      <c r="R263" s="451">
        <v>0</v>
      </c>
      <c r="S263" s="451">
        <v>63063.938500000004</v>
      </c>
      <c r="T263" s="451">
        <v>9180695.4916955438</v>
      </c>
      <c r="U263" s="451">
        <v>0</v>
      </c>
      <c r="V263" s="451">
        <v>9362008.5497450642</v>
      </c>
      <c r="W263" s="451">
        <v>8066747.4100000001</v>
      </c>
      <c r="X263" s="451">
        <v>-36785.800000000003</v>
      </c>
      <c r="Y263" s="451">
        <v>0</v>
      </c>
      <c r="Z263" s="451">
        <v>0</v>
      </c>
      <c r="AA263" s="451">
        <v>0</v>
      </c>
      <c r="AB263" s="451">
        <v>8029961.6100000003</v>
      </c>
      <c r="AC263" s="451">
        <v>1332046.939745062</v>
      </c>
      <c r="AD263" s="451">
        <v>747.42753934653138</v>
      </c>
      <c r="AE263" s="451">
        <v>1332794.3672844083</v>
      </c>
      <c r="AF263" s="451">
        <v>1151481.3092348897</v>
      </c>
      <c r="AG263" s="451">
        <v>181313.05804951815</v>
      </c>
      <c r="AH263" s="451">
        <v>533876.81381895102</v>
      </c>
      <c r="AI263" s="451">
        <v>221301.37417650002</v>
      </c>
      <c r="AJ263" s="451">
        <v>747.42753934653138</v>
      </c>
      <c r="AM263" s="451">
        <v>1332794.3672844083</v>
      </c>
    </row>
    <row r="264" spans="3:44" x14ac:dyDescent="0.25">
      <c r="D264" s="453" t="s">
        <v>90</v>
      </c>
      <c r="H264" s="451">
        <v>0</v>
      </c>
      <c r="I264" s="451">
        <v>0</v>
      </c>
      <c r="J264" s="451">
        <v>0</v>
      </c>
      <c r="K264" s="451">
        <v>0</v>
      </c>
      <c r="L264" s="451">
        <v>0</v>
      </c>
      <c r="M264" s="451">
        <v>0</v>
      </c>
      <c r="N264" s="451">
        <v>0</v>
      </c>
      <c r="O264" s="451">
        <v>0</v>
      </c>
      <c r="P264" s="451">
        <v>0</v>
      </c>
      <c r="Q264" s="451">
        <v>0</v>
      </c>
      <c r="R264" s="451">
        <v>0</v>
      </c>
      <c r="S264" s="451">
        <v>0</v>
      </c>
      <c r="T264" s="451">
        <v>0</v>
      </c>
      <c r="U264" s="451">
        <v>0</v>
      </c>
      <c r="V264" s="451">
        <v>0</v>
      </c>
      <c r="W264" s="451">
        <v>0</v>
      </c>
      <c r="X264" s="451">
        <v>0</v>
      </c>
      <c r="Y264" s="451">
        <v>0</v>
      </c>
      <c r="Z264" s="451">
        <v>0</v>
      </c>
      <c r="AA264" s="451">
        <v>0</v>
      </c>
      <c r="AB264" s="451">
        <v>0</v>
      </c>
      <c r="AC264" s="451">
        <v>0</v>
      </c>
      <c r="AD264" s="451">
        <v>0</v>
      </c>
      <c r="AE264" s="451">
        <v>0</v>
      </c>
      <c r="AF264" s="451">
        <v>0</v>
      </c>
      <c r="AG264" s="451">
        <v>0</v>
      </c>
      <c r="AH264" s="451">
        <v>0</v>
      </c>
      <c r="AI264" s="451">
        <v>0</v>
      </c>
      <c r="AJ264" s="451">
        <v>0</v>
      </c>
    </row>
    <row r="265" spans="3:44" x14ac:dyDescent="0.25">
      <c r="D265" s="453" t="s">
        <v>1441</v>
      </c>
      <c r="H265" s="451">
        <v>76433131.92075336</v>
      </c>
      <c r="I265" s="451">
        <v>-314559.46110159875</v>
      </c>
      <c r="J265" s="451">
        <v>76118572.459651783</v>
      </c>
      <c r="K265" s="451">
        <v>472549593.62515789</v>
      </c>
      <c r="L265" s="451">
        <v>59613414.577500001</v>
      </c>
      <c r="M265" s="451">
        <v>-1462205.5414866686</v>
      </c>
      <c r="N265" s="451">
        <v>530700802.66117108</v>
      </c>
      <c r="O265" s="451">
        <v>11135711.431342741</v>
      </c>
      <c r="P265" s="451">
        <v>704781.65999999992</v>
      </c>
      <c r="Q265" s="451">
        <v>0</v>
      </c>
      <c r="R265" s="451">
        <v>302592.21000000002</v>
      </c>
      <c r="S265" s="451">
        <v>12143085.301342739</v>
      </c>
      <c r="T265" s="451">
        <v>542843887.9625138</v>
      </c>
      <c r="U265" s="451">
        <v>0</v>
      </c>
      <c r="V265" s="451">
        <v>618962460.42216575</v>
      </c>
      <c r="W265" s="451">
        <v>542380017.88000011</v>
      </c>
      <c r="X265" s="451">
        <v>-994739.94000000018</v>
      </c>
      <c r="Y265" s="451">
        <v>0</v>
      </c>
      <c r="Z265" s="451">
        <v>0</v>
      </c>
      <c r="AA265" s="451">
        <v>0</v>
      </c>
      <c r="AB265" s="451">
        <v>541385277.94000006</v>
      </c>
      <c r="AC265" s="451">
        <v>77577182.482165605</v>
      </c>
      <c r="AD265" s="451">
        <v>52282.385567474463</v>
      </c>
      <c r="AE265" s="451">
        <v>77629464.867733076</v>
      </c>
      <c r="AF265" s="451">
        <v>1510892.4080813043</v>
      </c>
      <c r="AG265" s="451">
        <v>76118572.459651783</v>
      </c>
      <c r="AH265" s="451">
        <v>36930672.408997811</v>
      </c>
      <c r="AI265" s="451">
        <v>14671117.500366647</v>
      </c>
      <c r="AJ265" s="451">
        <v>51702.941372596921</v>
      </c>
    </row>
    <row r="266" spans="3:44" ht="15" x14ac:dyDescent="0.35">
      <c r="F266" s="454">
        <v>235</v>
      </c>
      <c r="H266" s="451"/>
      <c r="I266" s="451"/>
      <c r="J266" s="500"/>
      <c r="K266" s="501"/>
      <c r="L266" s="451"/>
      <c r="M266" s="451"/>
      <c r="N266" s="451"/>
      <c r="O266" s="451"/>
      <c r="P266" s="451"/>
      <c r="Q266" s="451"/>
      <c r="R266" s="451"/>
      <c r="S266" s="451">
        <v>0</v>
      </c>
      <c r="T266" s="451"/>
      <c r="U266" s="451"/>
      <c r="V266" s="451">
        <v>618962460.42216563</v>
      </c>
      <c r="W266" s="502">
        <v>549699306.52999973</v>
      </c>
      <c r="X266" s="451"/>
      <c r="Y266" s="451"/>
      <c r="Z266" s="451"/>
      <c r="AA266" s="451"/>
      <c r="AB266" s="451"/>
      <c r="AC266" s="451"/>
      <c r="AD266" s="451"/>
      <c r="AE266" s="451"/>
      <c r="AF266" s="451"/>
      <c r="AG266" s="451"/>
      <c r="AH266" s="451"/>
      <c r="AI266" s="451"/>
      <c r="AJ266" s="451"/>
      <c r="AL266" s="453">
        <v>27</v>
      </c>
      <c r="AM266" s="453">
        <v>-8577701.8455445208</v>
      </c>
      <c r="AN266" s="453">
        <v>162503837.21372628</v>
      </c>
      <c r="AO266" s="453">
        <v>194</v>
      </c>
    </row>
    <row r="267" spans="3:44" ht="15.6" thickBot="1" x14ac:dyDescent="0.4">
      <c r="H267" s="451">
        <v>24446301.5307298</v>
      </c>
      <c r="I267" s="451">
        <v>-899394.67110159877</v>
      </c>
      <c r="J267" s="500"/>
      <c r="K267" s="501">
        <v>472549593.62515783</v>
      </c>
      <c r="L267" s="501">
        <v>59613414.577500001</v>
      </c>
      <c r="M267" s="451"/>
      <c r="N267" s="451"/>
      <c r="O267" s="501">
        <v>11135711.431342738</v>
      </c>
      <c r="P267" s="501">
        <v>704781.65999999992</v>
      </c>
      <c r="Q267" s="501">
        <v>0</v>
      </c>
      <c r="R267" s="501">
        <v>302592.20999999996</v>
      </c>
      <c r="S267" s="501"/>
      <c r="T267" s="501">
        <v>542843887.96251392</v>
      </c>
      <c r="U267" s="451"/>
      <c r="V267" s="501">
        <v>0</v>
      </c>
      <c r="W267" s="502"/>
      <c r="X267" s="451"/>
      <c r="Y267" s="451"/>
      <c r="Z267" s="451"/>
      <c r="AA267" s="451"/>
      <c r="AB267" s="451"/>
      <c r="AC267" s="451"/>
      <c r="AD267" s="451"/>
      <c r="AE267" s="451"/>
      <c r="AF267" s="451"/>
      <c r="AG267" s="451"/>
      <c r="AH267" s="451"/>
      <c r="AI267" s="451"/>
      <c r="AJ267" s="451"/>
    </row>
    <row r="268" spans="3:44" ht="18.600000000000001" thickTop="1" thickBot="1" x14ac:dyDescent="0.35">
      <c r="H268" s="451"/>
      <c r="I268" s="451"/>
      <c r="J268" s="500"/>
      <c r="K268" s="503"/>
      <c r="L268" s="451"/>
      <c r="M268" s="451"/>
      <c r="N268" s="451"/>
      <c r="O268" s="451"/>
      <c r="P268" s="451"/>
      <c r="Q268" s="451"/>
      <c r="R268" s="451"/>
      <c r="S268" s="504"/>
      <c r="T268" s="505"/>
      <c r="U268" s="505"/>
      <c r="V268" s="451"/>
      <c r="W268" s="505"/>
      <c r="X268" s="451"/>
      <c r="Y268" s="451"/>
      <c r="Z268" s="451"/>
      <c r="AA268" s="451"/>
      <c r="AB268" s="451"/>
      <c r="AC268" s="451"/>
      <c r="AD268" s="451"/>
      <c r="AE268" s="451"/>
      <c r="AF268" s="451"/>
      <c r="AG268" s="451"/>
      <c r="AH268" s="451"/>
      <c r="AI268" s="451"/>
      <c r="AJ268" s="451"/>
    </row>
    <row r="269" spans="3:44" ht="18" thickTop="1" x14ac:dyDescent="0.3">
      <c r="H269" s="451"/>
      <c r="I269" s="451"/>
      <c r="J269" s="500"/>
      <c r="K269" s="503"/>
      <c r="L269" s="451"/>
      <c r="M269" s="451"/>
      <c r="N269" s="451"/>
      <c r="O269" s="451"/>
      <c r="P269" s="451"/>
      <c r="Q269" s="451"/>
      <c r="R269" s="451"/>
      <c r="S269" s="504"/>
      <c r="T269" s="506"/>
      <c r="U269" s="506"/>
      <c r="V269" s="451"/>
      <c r="W269" s="506"/>
      <c r="X269" s="451"/>
      <c r="Y269" s="451"/>
      <c r="Z269" s="451"/>
      <c r="AA269" s="451"/>
      <c r="AB269" s="451"/>
      <c r="AC269" s="451"/>
      <c r="AD269" s="451"/>
      <c r="AE269" s="451"/>
      <c r="AF269" s="451"/>
      <c r="AG269" s="451"/>
      <c r="AH269" s="451"/>
      <c r="AI269" s="451"/>
      <c r="AJ269" s="451"/>
    </row>
    <row r="270" spans="3:44" ht="17.399999999999999" x14ac:dyDescent="0.3">
      <c r="H270" s="451"/>
      <c r="I270" s="451"/>
      <c r="J270" s="500"/>
      <c r="K270" s="503"/>
      <c r="L270" s="451"/>
      <c r="M270" s="451"/>
      <c r="N270" s="451"/>
      <c r="O270" s="451"/>
      <c r="P270" s="451"/>
      <c r="Q270" s="451"/>
      <c r="R270" s="451"/>
      <c r="S270" s="504"/>
      <c r="T270" s="506"/>
      <c r="U270" s="506"/>
      <c r="V270" s="451"/>
      <c r="X270" s="451"/>
      <c r="Y270" s="451"/>
      <c r="Z270" s="451"/>
      <c r="AA270" s="451"/>
      <c r="AB270" s="451"/>
      <c r="AC270" s="451"/>
      <c r="AD270" s="451"/>
      <c r="AE270" s="451"/>
      <c r="AF270" s="451"/>
      <c r="AG270" s="451"/>
      <c r="AH270" s="451"/>
      <c r="AI270" s="451"/>
      <c r="AJ270" s="451"/>
    </row>
    <row r="271" spans="3:44" x14ac:dyDescent="0.25">
      <c r="H271" s="451"/>
      <c r="I271" s="451"/>
      <c r="J271" s="455"/>
      <c r="K271" s="451"/>
      <c r="L271" s="451"/>
      <c r="M271" s="451"/>
      <c r="N271" s="451"/>
      <c r="O271" s="451"/>
      <c r="P271" s="451"/>
      <c r="Q271" s="451"/>
      <c r="R271" s="451"/>
      <c r="S271" s="451"/>
      <c r="T271" s="451"/>
      <c r="U271" s="451"/>
      <c r="V271" s="451"/>
      <c r="X271" s="451"/>
      <c r="Y271" s="451"/>
      <c r="Z271" s="451"/>
      <c r="AA271" s="451"/>
      <c r="AB271" s="451"/>
      <c r="AC271" s="451"/>
      <c r="AD271" s="451"/>
      <c r="AE271" s="451"/>
      <c r="AF271" s="451"/>
      <c r="AG271" s="451"/>
      <c r="AH271" s="451"/>
      <c r="AI271" s="451"/>
      <c r="AJ271" s="451"/>
    </row>
    <row r="272" spans="3:44" x14ac:dyDescent="0.25">
      <c r="D272" s="453" t="s">
        <v>1442</v>
      </c>
      <c r="H272" s="451">
        <v>0</v>
      </c>
      <c r="I272" s="451">
        <v>0</v>
      </c>
      <c r="J272" s="451">
        <v>0</v>
      </c>
      <c r="K272" s="451">
        <v>0</v>
      </c>
      <c r="L272" s="451">
        <v>0</v>
      </c>
      <c r="M272" s="451">
        <v>0</v>
      </c>
      <c r="N272" s="451">
        <v>0</v>
      </c>
      <c r="O272" s="451">
        <v>0</v>
      </c>
      <c r="P272" s="451">
        <v>0</v>
      </c>
      <c r="Q272" s="451">
        <v>0</v>
      </c>
      <c r="R272" s="451">
        <v>0</v>
      </c>
      <c r="S272" s="451">
        <v>0</v>
      </c>
      <c r="T272" s="451">
        <v>0</v>
      </c>
      <c r="U272" s="451">
        <v>0</v>
      </c>
      <c r="V272" s="451">
        <v>0</v>
      </c>
      <c r="W272" s="451">
        <v>0</v>
      </c>
      <c r="X272" s="451">
        <v>0</v>
      </c>
      <c r="Y272" s="451">
        <v>0</v>
      </c>
      <c r="Z272" s="451">
        <v>0</v>
      </c>
      <c r="AA272" s="451">
        <v>0</v>
      </c>
      <c r="AB272" s="451">
        <v>0</v>
      </c>
      <c r="AC272" s="451">
        <v>0</v>
      </c>
      <c r="AD272" s="451">
        <v>0</v>
      </c>
      <c r="AE272" s="451">
        <v>0</v>
      </c>
      <c r="AF272" s="451">
        <v>0</v>
      </c>
      <c r="AG272" s="451">
        <v>0</v>
      </c>
      <c r="AH272" s="451">
        <v>0</v>
      </c>
      <c r="AI272" s="451">
        <v>0</v>
      </c>
      <c r="AJ272" s="451">
        <v>0</v>
      </c>
    </row>
    <row r="273" spans="1:49" x14ac:dyDescent="0.25">
      <c r="D273" s="453" t="s">
        <v>1443</v>
      </c>
      <c r="H273" s="451">
        <v>0</v>
      </c>
      <c r="I273" s="451">
        <v>0</v>
      </c>
      <c r="J273" s="451">
        <v>0</v>
      </c>
      <c r="K273" s="451">
        <v>0</v>
      </c>
      <c r="L273" s="451">
        <v>0</v>
      </c>
      <c r="M273" s="451">
        <v>0</v>
      </c>
      <c r="N273" s="451">
        <v>0</v>
      </c>
      <c r="O273" s="451">
        <v>0</v>
      </c>
      <c r="P273" s="451">
        <v>0</v>
      </c>
      <c r="Q273" s="451">
        <v>0</v>
      </c>
      <c r="R273" s="451">
        <v>0</v>
      </c>
      <c r="S273" s="451">
        <v>0</v>
      </c>
      <c r="T273" s="451">
        <v>0</v>
      </c>
      <c r="U273" s="451">
        <v>0</v>
      </c>
      <c r="V273" s="451">
        <v>0</v>
      </c>
      <c r="W273" s="451">
        <v>0</v>
      </c>
      <c r="X273" s="451">
        <v>0</v>
      </c>
      <c r="Y273" s="451">
        <v>0</v>
      </c>
      <c r="Z273" s="451">
        <v>0</v>
      </c>
      <c r="AA273" s="451">
        <v>0</v>
      </c>
      <c r="AB273" s="451">
        <v>0</v>
      </c>
      <c r="AC273" s="451">
        <v>0</v>
      </c>
      <c r="AD273" s="451">
        <v>0</v>
      </c>
      <c r="AE273" s="451">
        <v>0</v>
      </c>
      <c r="AF273" s="451">
        <v>0</v>
      </c>
      <c r="AG273" s="451">
        <v>0</v>
      </c>
      <c r="AH273" s="451">
        <v>0</v>
      </c>
      <c r="AI273" s="451">
        <v>0</v>
      </c>
      <c r="AJ273" s="451">
        <v>0</v>
      </c>
    </row>
    <row r="274" spans="1:49" x14ac:dyDescent="0.25">
      <c r="D274" s="453" t="s">
        <v>1444</v>
      </c>
      <c r="H274" s="451">
        <v>0</v>
      </c>
      <c r="I274" s="451">
        <v>0</v>
      </c>
      <c r="J274" s="451">
        <v>0</v>
      </c>
      <c r="K274" s="451">
        <v>0</v>
      </c>
      <c r="L274" s="451">
        <v>0</v>
      </c>
      <c r="M274" s="451">
        <v>0</v>
      </c>
      <c r="N274" s="451">
        <v>0</v>
      </c>
      <c r="O274" s="451">
        <v>0</v>
      </c>
      <c r="P274" s="451">
        <v>0</v>
      </c>
      <c r="Q274" s="451">
        <v>0</v>
      </c>
      <c r="R274" s="451">
        <v>0</v>
      </c>
      <c r="S274" s="451">
        <v>0</v>
      </c>
      <c r="T274" s="451">
        <v>0</v>
      </c>
      <c r="U274" s="451">
        <v>0</v>
      </c>
      <c r="V274" s="451">
        <v>0</v>
      </c>
      <c r="W274" s="451">
        <v>0</v>
      </c>
      <c r="X274" s="451">
        <v>0</v>
      </c>
      <c r="Y274" s="451">
        <v>0</v>
      </c>
      <c r="Z274" s="451">
        <v>0</v>
      </c>
      <c r="AA274" s="451">
        <v>0</v>
      </c>
      <c r="AB274" s="451">
        <v>0</v>
      </c>
      <c r="AC274" s="451">
        <v>0</v>
      </c>
      <c r="AD274" s="451">
        <v>0</v>
      </c>
      <c r="AE274" s="451">
        <v>0</v>
      </c>
      <c r="AF274" s="451">
        <v>0</v>
      </c>
      <c r="AG274" s="451">
        <v>0</v>
      </c>
      <c r="AH274" s="451">
        <v>0</v>
      </c>
      <c r="AI274" s="451">
        <v>0</v>
      </c>
      <c r="AJ274" s="451">
        <v>0</v>
      </c>
      <c r="AK274" s="498"/>
    </row>
    <row r="275" spans="1:49" x14ac:dyDescent="0.25">
      <c r="H275" s="456">
        <v>0</v>
      </c>
      <c r="I275" s="456">
        <v>0</v>
      </c>
      <c r="J275" s="456">
        <v>0</v>
      </c>
      <c r="K275" s="456">
        <v>0</v>
      </c>
      <c r="L275" s="456">
        <v>0</v>
      </c>
      <c r="M275" s="456">
        <v>0</v>
      </c>
      <c r="N275" s="456">
        <v>0</v>
      </c>
      <c r="O275" s="456">
        <v>0</v>
      </c>
      <c r="P275" s="456">
        <v>0</v>
      </c>
      <c r="Q275" s="456"/>
      <c r="R275" s="456">
        <v>0</v>
      </c>
      <c r="S275" s="456">
        <v>0</v>
      </c>
      <c r="T275" s="456">
        <v>0</v>
      </c>
      <c r="U275" s="456">
        <v>0</v>
      </c>
      <c r="V275" s="456">
        <v>0</v>
      </c>
      <c r="W275" s="456">
        <v>0</v>
      </c>
      <c r="X275" s="456">
        <v>0</v>
      </c>
      <c r="Y275" s="456">
        <v>0</v>
      </c>
      <c r="Z275" s="456">
        <v>0</v>
      </c>
      <c r="AA275" s="456">
        <v>0</v>
      </c>
      <c r="AB275" s="456">
        <v>0</v>
      </c>
      <c r="AC275" s="456">
        <v>0</v>
      </c>
      <c r="AD275" s="456">
        <v>0</v>
      </c>
      <c r="AE275" s="456">
        <v>0</v>
      </c>
      <c r="AF275" s="456">
        <v>0</v>
      </c>
      <c r="AG275" s="456">
        <v>0</v>
      </c>
      <c r="AH275" s="456">
        <v>0</v>
      </c>
      <c r="AI275" s="456">
        <v>0</v>
      </c>
      <c r="AJ275" s="456">
        <v>0</v>
      </c>
    </row>
    <row r="276" spans="1:49" x14ac:dyDescent="0.25">
      <c r="J276" s="468" t="s">
        <v>1435</v>
      </c>
      <c r="K276" s="507">
        <v>15175791.374086298</v>
      </c>
      <c r="AE276" s="462"/>
      <c r="AF276" s="462"/>
    </row>
    <row r="277" spans="1:49" ht="17.399999999999999" x14ac:dyDescent="0.3">
      <c r="J277" s="468" t="s">
        <v>1436</v>
      </c>
      <c r="K277" s="507">
        <v>287310842.84589791</v>
      </c>
      <c r="W277" s="506">
        <v>207523</v>
      </c>
    </row>
    <row r="278" spans="1:49" x14ac:dyDescent="0.25">
      <c r="J278" s="468" t="s">
        <v>1437</v>
      </c>
      <c r="K278" s="507">
        <v>100333799.30125554</v>
      </c>
      <c r="W278" s="451">
        <v>854092</v>
      </c>
      <c r="AJ278" s="508"/>
    </row>
    <row r="279" spans="1:49" x14ac:dyDescent="0.25">
      <c r="J279" s="468" t="s">
        <v>1438</v>
      </c>
      <c r="K279" s="507">
        <v>61691822.903159544</v>
      </c>
      <c r="T279" s="451">
        <v>71756499.878842741</v>
      </c>
      <c r="W279" s="453">
        <v>116726</v>
      </c>
    </row>
    <row r="280" spans="1:49" x14ac:dyDescent="0.25">
      <c r="J280" s="468" t="s">
        <v>581</v>
      </c>
      <c r="K280" s="507">
        <v>464512256.42439932</v>
      </c>
      <c r="T280" s="460">
        <v>-109359736.33</v>
      </c>
      <c r="W280" s="453">
        <v>130547</v>
      </c>
    </row>
    <row r="281" spans="1:49" x14ac:dyDescent="0.25">
      <c r="K281" s="451">
        <v>-8037337.2007585168</v>
      </c>
      <c r="T281" s="451">
        <v>-37603236.451157257</v>
      </c>
      <c r="W281" s="451">
        <v>1308888</v>
      </c>
    </row>
    <row r="282" spans="1:49" x14ac:dyDescent="0.25">
      <c r="K282" s="462"/>
      <c r="W282" s="451">
        <v>543688905.88</v>
      </c>
    </row>
    <row r="283" spans="1:49" x14ac:dyDescent="0.25">
      <c r="AE283" s="462"/>
    </row>
    <row r="284" spans="1:49" ht="15.6" x14ac:dyDescent="0.3">
      <c r="A284" s="465" t="s">
        <v>1445</v>
      </c>
      <c r="C284" s="465"/>
      <c r="D284" s="465"/>
      <c r="E284" s="465"/>
      <c r="F284" s="466"/>
      <c r="G284" s="466"/>
      <c r="H284" s="465"/>
      <c r="I284" s="465"/>
      <c r="J284" s="467"/>
      <c r="K284" s="465"/>
      <c r="L284" s="465"/>
      <c r="AI284" s="468" t="s">
        <v>37</v>
      </c>
      <c r="AJ284" s="469">
        <v>6.3109999999999998E-3</v>
      </c>
      <c r="AK284" s="470"/>
      <c r="AU284" s="453"/>
      <c r="AV284" s="453"/>
      <c r="AW284" s="460"/>
    </row>
    <row r="285" spans="1:49" x14ac:dyDescent="0.25">
      <c r="A285" s="453">
        <v>1</v>
      </c>
      <c r="B285" s="453">
        <v>1</v>
      </c>
      <c r="C285" s="453">
        <v>2</v>
      </c>
      <c r="D285" s="453">
        <v>3</v>
      </c>
      <c r="F285" s="453">
        <v>4</v>
      </c>
      <c r="G285" s="453">
        <v>5</v>
      </c>
      <c r="H285" s="453">
        <v>6</v>
      </c>
      <c r="I285" s="453">
        <v>7</v>
      </c>
      <c r="J285" s="453">
        <v>8</v>
      </c>
      <c r="K285" s="453">
        <v>9</v>
      </c>
      <c r="L285" s="453">
        <v>10</v>
      </c>
      <c r="M285" s="453">
        <v>11</v>
      </c>
      <c r="N285" s="453">
        <v>12</v>
      </c>
      <c r="O285" s="453">
        <v>13</v>
      </c>
      <c r="P285" s="453">
        <v>14</v>
      </c>
      <c r="Q285" s="453">
        <v>15</v>
      </c>
      <c r="R285" s="453">
        <v>16</v>
      </c>
      <c r="S285" s="453">
        <v>17</v>
      </c>
      <c r="T285" s="453">
        <v>18</v>
      </c>
      <c r="U285" s="453">
        <v>19</v>
      </c>
      <c r="V285" s="453">
        <v>20</v>
      </c>
      <c r="W285" s="453">
        <v>21</v>
      </c>
      <c r="X285" s="453">
        <v>22</v>
      </c>
      <c r="Y285" s="453">
        <v>23</v>
      </c>
      <c r="Z285" s="453">
        <v>24</v>
      </c>
      <c r="AA285" s="453">
        <v>25</v>
      </c>
      <c r="AB285" s="453">
        <v>26</v>
      </c>
      <c r="AC285" s="453">
        <v>27</v>
      </c>
      <c r="AD285" s="453">
        <v>28</v>
      </c>
      <c r="AE285" s="453">
        <v>29</v>
      </c>
      <c r="AF285" s="453">
        <v>30</v>
      </c>
      <c r="AG285" s="453">
        <v>31</v>
      </c>
      <c r="AH285" s="453">
        <v>32</v>
      </c>
      <c r="AI285" s="453">
        <v>33</v>
      </c>
      <c r="AJ285" s="453">
        <v>34</v>
      </c>
      <c r="AK285" s="453">
        <v>35</v>
      </c>
      <c r="AL285" s="453">
        <v>36</v>
      </c>
      <c r="AM285" s="453">
        <v>37</v>
      </c>
      <c r="AN285" s="453">
        <v>38</v>
      </c>
      <c r="AO285" s="453">
        <v>39</v>
      </c>
      <c r="AP285" s="453">
        <v>40</v>
      </c>
      <c r="AU285" s="453"/>
      <c r="AV285" s="453"/>
      <c r="AW285" s="460"/>
    </row>
    <row r="286" spans="1:49" x14ac:dyDescent="0.25">
      <c r="D286" s="471"/>
      <c r="E286" s="471"/>
      <c r="Z286" s="454"/>
      <c r="AE286" s="471" t="s">
        <v>38</v>
      </c>
      <c r="AF286" s="471"/>
      <c r="AU286" s="453"/>
      <c r="AV286" s="453"/>
      <c r="AW286" s="460"/>
    </row>
    <row r="287" spans="1:49" x14ac:dyDescent="0.25">
      <c r="K287" s="464" t="s">
        <v>1446</v>
      </c>
      <c r="O287" s="464" t="s">
        <v>1447</v>
      </c>
      <c r="V287" s="464" t="s">
        <v>38</v>
      </c>
      <c r="W287" s="464" t="s">
        <v>1448</v>
      </c>
      <c r="AC287" s="464" t="s">
        <v>39</v>
      </c>
      <c r="AD287" s="464" t="s">
        <v>40</v>
      </c>
      <c r="AE287" s="464" t="s">
        <v>39</v>
      </c>
      <c r="AG287" s="464" t="s">
        <v>41</v>
      </c>
      <c r="AU287" s="453"/>
      <c r="AV287" s="453"/>
      <c r="AW287" s="460"/>
    </row>
    <row r="288" spans="1:49" x14ac:dyDescent="0.25">
      <c r="B288" s="464" t="s">
        <v>42</v>
      </c>
      <c r="J288" s="464" t="s">
        <v>43</v>
      </c>
      <c r="K288" s="464" t="s">
        <v>44</v>
      </c>
      <c r="L288" s="464" t="s">
        <v>45</v>
      </c>
      <c r="N288" s="464" t="s">
        <v>38</v>
      </c>
      <c r="S288" s="464" t="s">
        <v>38</v>
      </c>
      <c r="T288" s="464" t="s">
        <v>46</v>
      </c>
      <c r="U288" s="464" t="s">
        <v>47</v>
      </c>
      <c r="V288" s="464" t="s">
        <v>48</v>
      </c>
      <c r="W288" s="464" t="s">
        <v>1449</v>
      </c>
      <c r="X288" s="464" t="s">
        <v>1449</v>
      </c>
      <c r="Y288" s="464" t="s">
        <v>49</v>
      </c>
      <c r="Z288" s="464" t="s">
        <v>50</v>
      </c>
      <c r="AA288" s="464" t="s">
        <v>51</v>
      </c>
      <c r="AB288" s="464" t="s">
        <v>38</v>
      </c>
      <c r="AC288" s="464" t="s">
        <v>52</v>
      </c>
      <c r="AD288" s="464" t="s">
        <v>53</v>
      </c>
      <c r="AE288" s="464" t="s">
        <v>52</v>
      </c>
      <c r="AF288" s="464" t="s">
        <v>54</v>
      </c>
      <c r="AH288" s="464" t="s">
        <v>55</v>
      </c>
      <c r="AI288" s="464" t="s">
        <v>56</v>
      </c>
      <c r="AJ288" s="464" t="s">
        <v>57</v>
      </c>
      <c r="AU288" s="453"/>
      <c r="AV288" s="453"/>
      <c r="AW288" s="460"/>
    </row>
    <row r="289" spans="1:49" x14ac:dyDescent="0.25">
      <c r="A289" s="464" t="s">
        <v>58</v>
      </c>
      <c r="B289" s="464" t="s">
        <v>59</v>
      </c>
      <c r="C289" s="464" t="s">
        <v>61</v>
      </c>
      <c r="G289" s="464" t="s">
        <v>62</v>
      </c>
      <c r="H289" s="464" t="s">
        <v>63</v>
      </c>
      <c r="I289" s="464" t="s">
        <v>63</v>
      </c>
      <c r="J289" s="464" t="s">
        <v>63</v>
      </c>
      <c r="K289" s="464" t="s">
        <v>64</v>
      </c>
      <c r="L289" s="464" t="s">
        <v>65</v>
      </c>
      <c r="N289" s="464" t="s">
        <v>66</v>
      </c>
      <c r="O289" s="464" t="s">
        <v>67</v>
      </c>
      <c r="P289" s="464" t="s">
        <v>68</v>
      </c>
      <c r="Q289" s="464" t="s">
        <v>69</v>
      </c>
      <c r="R289" s="464" t="s">
        <v>70</v>
      </c>
      <c r="S289" s="464" t="s">
        <v>47</v>
      </c>
      <c r="U289" s="464" t="s">
        <v>71</v>
      </c>
      <c r="V289" s="464" t="s">
        <v>72</v>
      </c>
      <c r="W289" s="464" t="s">
        <v>58</v>
      </c>
      <c r="X289" s="464" t="s">
        <v>58</v>
      </c>
      <c r="Y289" s="464" t="s">
        <v>1450</v>
      </c>
      <c r="Z289" s="464" t="s">
        <v>73</v>
      </c>
      <c r="AA289" s="464" t="s">
        <v>74</v>
      </c>
      <c r="AB289" s="464" t="s">
        <v>75</v>
      </c>
      <c r="AC289" s="464" t="s">
        <v>1449</v>
      </c>
      <c r="AD289" s="464" t="s">
        <v>76</v>
      </c>
      <c r="AE289" s="464" t="s">
        <v>1449</v>
      </c>
      <c r="AF289" s="464" t="s">
        <v>77</v>
      </c>
      <c r="AG289" s="464" t="s">
        <v>1451</v>
      </c>
      <c r="AH289" s="464" t="s">
        <v>57</v>
      </c>
      <c r="AI289" s="464" t="s">
        <v>78</v>
      </c>
      <c r="AJ289" s="464" t="s">
        <v>79</v>
      </c>
      <c r="AO289" s="464" t="s">
        <v>80</v>
      </c>
      <c r="AP289" s="464" t="s">
        <v>81</v>
      </c>
      <c r="AU289" s="453"/>
      <c r="AV289" s="453"/>
      <c r="AW289" s="460"/>
    </row>
    <row r="290" spans="1:49" x14ac:dyDescent="0.25">
      <c r="A290" s="464" t="s">
        <v>82</v>
      </c>
      <c r="D290" s="464" t="s">
        <v>83</v>
      </c>
      <c r="F290" s="464" t="s">
        <v>84</v>
      </c>
      <c r="G290" s="464" t="s">
        <v>85</v>
      </c>
      <c r="H290" s="464" t="s">
        <v>1451</v>
      </c>
      <c r="I290" s="464" t="s">
        <v>1451</v>
      </c>
      <c r="J290" s="464" t="s">
        <v>1451</v>
      </c>
      <c r="K290" s="464" t="s">
        <v>86</v>
      </c>
      <c r="L290" s="464" t="s">
        <v>6</v>
      </c>
      <c r="M290" s="464" t="s">
        <v>70</v>
      </c>
      <c r="O290" s="464" t="s">
        <v>87</v>
      </c>
      <c r="P290" s="464" t="s">
        <v>87</v>
      </c>
      <c r="Q290" s="464" t="s">
        <v>88</v>
      </c>
      <c r="R290" s="464" t="s">
        <v>87</v>
      </c>
      <c r="S290" s="464" t="s">
        <v>89</v>
      </c>
      <c r="U290" s="464" t="s">
        <v>90</v>
      </c>
      <c r="V290" s="464" t="s">
        <v>1449</v>
      </c>
      <c r="W290" s="464" t="s">
        <v>1452</v>
      </c>
      <c r="X290" s="464" t="s">
        <v>1453</v>
      </c>
      <c r="Y290" s="464" t="s">
        <v>91</v>
      </c>
      <c r="Z290" s="464" t="s">
        <v>92</v>
      </c>
      <c r="AA290" s="464" t="s">
        <v>92</v>
      </c>
      <c r="AB290" s="464" t="s">
        <v>93</v>
      </c>
      <c r="AC290" s="464" t="s">
        <v>94</v>
      </c>
      <c r="AD290" s="464" t="s">
        <v>1449</v>
      </c>
      <c r="AE290" s="464" t="s">
        <v>95</v>
      </c>
      <c r="AF290" s="464" t="s">
        <v>96</v>
      </c>
      <c r="AG290" s="464" t="s">
        <v>97</v>
      </c>
      <c r="AH290" s="464" t="s">
        <v>79</v>
      </c>
      <c r="AI290" s="464" t="s">
        <v>98</v>
      </c>
      <c r="AJ290" s="464" t="s">
        <v>1449</v>
      </c>
      <c r="AP290" s="464" t="s">
        <v>80</v>
      </c>
      <c r="AU290" s="453"/>
      <c r="AV290" s="453"/>
      <c r="AW290" s="460"/>
    </row>
    <row r="291" spans="1:49" x14ac:dyDescent="0.25">
      <c r="I291" s="464" t="s">
        <v>49</v>
      </c>
      <c r="AU291" s="453"/>
      <c r="AV291" s="453"/>
      <c r="AW291" s="460"/>
    </row>
    <row r="294" spans="1:49" x14ac:dyDescent="0.25">
      <c r="A294" s="453" t="s">
        <v>1454</v>
      </c>
      <c r="B294" s="453" t="s">
        <v>1455</v>
      </c>
    </row>
    <row r="295" spans="1:49" x14ac:dyDescent="0.25">
      <c r="A295" s="453" t="s">
        <v>551</v>
      </c>
      <c r="B295" s="453">
        <v>7026</v>
      </c>
      <c r="C295" s="453">
        <v>7026</v>
      </c>
      <c r="D295" s="453" t="s">
        <v>552</v>
      </c>
      <c r="E295" s="453"/>
      <c r="F295" s="454" t="s">
        <v>857</v>
      </c>
      <c r="G295" s="454" t="s">
        <v>36</v>
      </c>
      <c r="H295" s="451">
        <v>-972260.1278474913</v>
      </c>
      <c r="I295" s="451">
        <v>0</v>
      </c>
      <c r="J295" s="455">
        <v>-972260.1278474913</v>
      </c>
      <c r="K295" s="451">
        <v>985826.98100118118</v>
      </c>
      <c r="L295" s="451">
        <v>100440</v>
      </c>
      <c r="M295" s="451">
        <v>0</v>
      </c>
      <c r="N295" s="451">
        <v>1086266.9810011811</v>
      </c>
      <c r="O295" s="451">
        <v>0</v>
      </c>
      <c r="P295" s="451">
        <v>0</v>
      </c>
      <c r="Q295" s="451">
        <v>0</v>
      </c>
      <c r="R295" s="451">
        <v>0</v>
      </c>
      <c r="S295" s="451">
        <v>0</v>
      </c>
      <c r="T295" s="451">
        <v>1086266.9810011811</v>
      </c>
      <c r="U295" s="451">
        <v>0</v>
      </c>
      <c r="V295" s="451">
        <v>114006.85315368976</v>
      </c>
      <c r="W295" s="451">
        <v>13566.85</v>
      </c>
      <c r="X295" s="451">
        <v>0</v>
      </c>
      <c r="Y295" s="451"/>
      <c r="Z295" s="451"/>
      <c r="AA295" s="456"/>
      <c r="AB295" s="451">
        <v>13566.85</v>
      </c>
      <c r="AC295" s="451">
        <v>100440.00315368976</v>
      </c>
      <c r="AD295" s="451">
        <v>0</v>
      </c>
      <c r="AE295" s="457">
        <v>100440.00315368976</v>
      </c>
      <c r="AF295" s="451">
        <v>1072700.131001181</v>
      </c>
      <c r="AG295" s="451">
        <v>-972260.1278474913</v>
      </c>
      <c r="AH295" s="451">
        <v>0</v>
      </c>
      <c r="AI295" s="451">
        <v>0</v>
      </c>
      <c r="AJ295" s="451">
        <v>0</v>
      </c>
      <c r="AK295" s="462"/>
      <c r="AL295" s="453" t="s">
        <v>1432</v>
      </c>
      <c r="AM295" s="451">
        <v>100440.00315368976</v>
      </c>
      <c r="AN295" s="453" t="s">
        <v>1432</v>
      </c>
      <c r="AO295" s="453">
        <v>16</v>
      </c>
      <c r="AP295" s="453">
        <v>15</v>
      </c>
      <c r="AQ295" s="458">
        <v>9.2463459637811232E-2</v>
      </c>
      <c r="AR295" s="453"/>
      <c r="AS295" s="459" t="s">
        <v>104</v>
      </c>
      <c r="AT295" s="453" t="s">
        <v>104</v>
      </c>
      <c r="AU295" s="453"/>
      <c r="AV295" s="460" t="s">
        <v>36</v>
      </c>
      <c r="AW295" s="453">
        <v>0</v>
      </c>
    </row>
    <row r="299" spans="1:49" x14ac:dyDescent="0.25">
      <c r="AC299" s="509"/>
      <c r="AD299" s="509"/>
      <c r="AE299" s="509"/>
      <c r="AF299" s="509"/>
      <c r="AG299" s="509"/>
      <c r="AH299" s="509"/>
      <c r="AI299" s="509"/>
      <c r="AJ299" s="509"/>
      <c r="AM299" s="510"/>
    </row>
    <row r="300" spans="1:49" x14ac:dyDescent="0.25">
      <c r="AM300" s="510"/>
    </row>
    <row r="301" spans="1:49" x14ac:dyDescent="0.25">
      <c r="A301" s="453" t="s">
        <v>1456</v>
      </c>
    </row>
    <row r="302" spans="1:49" x14ac:dyDescent="0.25">
      <c r="A302" s="453" t="s">
        <v>413</v>
      </c>
      <c r="B302" s="453">
        <v>3360</v>
      </c>
      <c r="C302" s="453">
        <v>3360</v>
      </c>
      <c r="D302" s="453" t="s">
        <v>1332</v>
      </c>
      <c r="E302" s="453"/>
      <c r="F302" s="454" t="s">
        <v>857</v>
      </c>
      <c r="G302" s="454" t="s">
        <v>36</v>
      </c>
      <c r="H302" s="451" t="e">
        <v>#N/A</v>
      </c>
      <c r="I302" s="451">
        <v>0</v>
      </c>
      <c r="J302" s="455" t="s">
        <v>36</v>
      </c>
      <c r="K302" s="451">
        <v>0</v>
      </c>
      <c r="L302" s="451"/>
      <c r="M302" s="451"/>
      <c r="N302" s="451">
        <v>0</v>
      </c>
      <c r="O302" s="451"/>
      <c r="P302" s="451"/>
      <c r="Q302" s="451">
        <v>0</v>
      </c>
      <c r="R302" s="451"/>
      <c r="S302" s="451">
        <v>0</v>
      </c>
      <c r="T302" s="451">
        <v>0</v>
      </c>
      <c r="U302" s="451"/>
      <c r="V302" s="451" t="e">
        <v>#VALUE!</v>
      </c>
      <c r="W302" s="451">
        <v>0</v>
      </c>
      <c r="X302" s="451">
        <v>0</v>
      </c>
      <c r="Y302" s="451"/>
      <c r="Z302" s="451"/>
      <c r="AA302" s="456"/>
      <c r="AB302" s="451">
        <v>0</v>
      </c>
      <c r="AC302" s="451" t="e">
        <v>#VALUE!</v>
      </c>
      <c r="AD302" s="451" t="e">
        <v>#VALUE!</v>
      </c>
      <c r="AE302" s="457" t="e">
        <v>#VALUE!</v>
      </c>
      <c r="AF302" s="451" t="e">
        <v>#VALUE!</v>
      </c>
      <c r="AG302" s="451" t="s">
        <v>36</v>
      </c>
      <c r="AH302" s="451" t="e">
        <v>#VALUE!</v>
      </c>
      <c r="AI302" s="451" t="e">
        <v>#VALUE!</v>
      </c>
      <c r="AJ302" s="451" t="e">
        <v>#VALUE!</v>
      </c>
      <c r="AK302" s="462"/>
      <c r="AL302" s="453" t="s">
        <v>1432</v>
      </c>
      <c r="AM302" s="451" t="e">
        <v>#VALUE!</v>
      </c>
      <c r="AN302" s="453" t="e">
        <v>#VALUE!</v>
      </c>
      <c r="AO302" s="453" t="e">
        <v>#VALUE!</v>
      </c>
      <c r="AP302" s="453" t="e">
        <v>#VALUE!</v>
      </c>
      <c r="AQ302" s="458" t="e">
        <v>#VALUE!</v>
      </c>
      <c r="AR302" s="453"/>
      <c r="AS302" s="459" t="s">
        <v>1457</v>
      </c>
      <c r="AT302" s="453" t="s">
        <v>104</v>
      </c>
      <c r="AU302" s="453"/>
      <c r="AV302" s="460" t="s">
        <v>36</v>
      </c>
      <c r="AW302" s="453" t="s">
        <v>1433</v>
      </c>
    </row>
    <row r="303" spans="1:49" x14ac:dyDescent="0.25">
      <c r="A303" s="453" t="s">
        <v>450</v>
      </c>
      <c r="B303" s="453">
        <v>2179</v>
      </c>
      <c r="C303" s="453">
        <v>2179</v>
      </c>
      <c r="D303" s="453" t="s">
        <v>1413</v>
      </c>
      <c r="E303" s="453" t="s">
        <v>83</v>
      </c>
      <c r="F303" s="454" t="s">
        <v>857</v>
      </c>
      <c r="G303" s="454" t="s">
        <v>36</v>
      </c>
      <c r="H303" s="451" t="e">
        <v>#N/A</v>
      </c>
      <c r="I303" s="451">
        <v>0</v>
      </c>
      <c r="J303" s="455" t="s">
        <v>36</v>
      </c>
      <c r="K303" s="451"/>
      <c r="L303" s="451"/>
      <c r="M303" s="451"/>
      <c r="N303" s="451">
        <v>0</v>
      </c>
      <c r="O303" s="451"/>
      <c r="P303" s="451"/>
      <c r="Q303" s="451">
        <v>0</v>
      </c>
      <c r="R303" s="451"/>
      <c r="S303" s="451">
        <v>0</v>
      </c>
      <c r="T303" s="451">
        <v>0</v>
      </c>
      <c r="U303" s="451"/>
      <c r="V303" s="451" t="e">
        <v>#VALUE!</v>
      </c>
      <c r="W303" s="451">
        <v>0</v>
      </c>
      <c r="X303" s="451">
        <v>0</v>
      </c>
      <c r="Y303" s="451"/>
      <c r="Z303" s="451"/>
      <c r="AA303" s="456"/>
      <c r="AB303" s="451">
        <v>0</v>
      </c>
      <c r="AC303" s="451" t="e">
        <v>#VALUE!</v>
      </c>
      <c r="AD303" s="451" t="e">
        <v>#VALUE!</v>
      </c>
      <c r="AE303" s="457" t="e">
        <v>#VALUE!</v>
      </c>
      <c r="AF303" s="451" t="e">
        <v>#VALUE!</v>
      </c>
      <c r="AG303" s="451" t="s">
        <v>36</v>
      </c>
      <c r="AH303" s="451" t="e">
        <v>#VALUE!</v>
      </c>
      <c r="AI303" s="451" t="e">
        <v>#VALUE!</v>
      </c>
      <c r="AJ303" s="451" t="e">
        <v>#VALUE!</v>
      </c>
      <c r="AK303" s="462"/>
      <c r="AL303" s="453" t="s">
        <v>1432</v>
      </c>
      <c r="AM303" s="451" t="e">
        <v>#VALUE!</v>
      </c>
      <c r="AN303" s="453" t="e">
        <v>#VALUE!</v>
      </c>
      <c r="AO303" s="453" t="e">
        <v>#VALUE!</v>
      </c>
      <c r="AP303" s="453" t="e">
        <v>#VALUE!</v>
      </c>
      <c r="AQ303" s="458" t="e">
        <v>#VALUE!</v>
      </c>
      <c r="AR303" s="453"/>
      <c r="AS303" s="459" t="s">
        <v>1457</v>
      </c>
      <c r="AT303" s="453" t="s">
        <v>104</v>
      </c>
      <c r="AU303" s="453"/>
      <c r="AV303" s="460" t="s">
        <v>36</v>
      </c>
      <c r="AW303" s="453" t="s">
        <v>1433</v>
      </c>
    </row>
    <row r="304" spans="1:49" x14ac:dyDescent="0.25">
      <c r="A304" s="453" t="s">
        <v>567</v>
      </c>
      <c r="B304" s="453">
        <v>7036</v>
      </c>
      <c r="C304" s="453">
        <v>7036</v>
      </c>
      <c r="D304" s="453" t="s">
        <v>1458</v>
      </c>
      <c r="E304" s="453"/>
      <c r="F304" s="454" t="s">
        <v>857</v>
      </c>
      <c r="G304" s="454" t="s">
        <v>36</v>
      </c>
      <c r="H304" s="451" t="e">
        <v>#N/A</v>
      </c>
      <c r="I304" s="451">
        <v>0</v>
      </c>
      <c r="J304" s="455" t="s">
        <v>36</v>
      </c>
      <c r="K304" s="451">
        <v>0</v>
      </c>
      <c r="L304" s="451"/>
      <c r="M304" s="451"/>
      <c r="N304" s="451">
        <v>0</v>
      </c>
      <c r="O304" s="451"/>
      <c r="P304" s="451"/>
      <c r="Q304" s="451">
        <v>0</v>
      </c>
      <c r="R304" s="451"/>
      <c r="S304" s="451">
        <v>0</v>
      </c>
      <c r="T304" s="451">
        <v>0</v>
      </c>
      <c r="U304" s="451"/>
      <c r="V304" s="451" t="e">
        <v>#VALUE!</v>
      </c>
      <c r="W304" s="451">
        <v>0</v>
      </c>
      <c r="X304" s="451">
        <v>-11706.06</v>
      </c>
      <c r="Y304" s="451"/>
      <c r="Z304" s="451"/>
      <c r="AA304" s="456"/>
      <c r="AB304" s="451">
        <v>-11706.06</v>
      </c>
      <c r="AC304" s="451" t="e">
        <v>#VALUE!</v>
      </c>
      <c r="AD304" s="451" t="e">
        <v>#VALUE!</v>
      </c>
      <c r="AE304" s="457" t="e">
        <v>#VALUE!</v>
      </c>
      <c r="AF304" s="451" t="e">
        <v>#VALUE!</v>
      </c>
      <c r="AG304" s="451" t="s">
        <v>36</v>
      </c>
      <c r="AH304" s="451" t="e">
        <v>#VALUE!</v>
      </c>
      <c r="AI304" s="451" t="e">
        <v>#VALUE!</v>
      </c>
      <c r="AJ304" s="451" t="e">
        <v>#VALUE!</v>
      </c>
      <c r="AK304" s="462"/>
      <c r="AL304" s="453" t="s">
        <v>1432</v>
      </c>
      <c r="AM304" s="451" t="e">
        <v>#VALUE!</v>
      </c>
      <c r="AN304" s="453" t="e">
        <v>#VALUE!</v>
      </c>
      <c r="AO304" s="453" t="e">
        <v>#VALUE!</v>
      </c>
      <c r="AP304" s="453" t="e">
        <v>#VALUE!</v>
      </c>
      <c r="AQ304" s="458" t="e">
        <v>#VALUE!</v>
      </c>
      <c r="AR304" s="453"/>
      <c r="AS304" s="459" t="s">
        <v>1457</v>
      </c>
      <c r="AT304" s="453" t="s">
        <v>104</v>
      </c>
      <c r="AU304" s="453"/>
      <c r="AV304" s="460" t="s">
        <v>36</v>
      </c>
      <c r="AW304" s="453" t="s">
        <v>1433</v>
      </c>
    </row>
    <row r="305" spans="39:39" x14ac:dyDescent="0.25">
      <c r="AM305" s="510"/>
    </row>
    <row r="306" spans="39:39" x14ac:dyDescent="0.25">
      <c r="AM306" s="510"/>
    </row>
    <row r="307" spans="39:39" x14ac:dyDescent="0.25">
      <c r="AM307" s="510"/>
    </row>
    <row r="308" spans="39:39" x14ac:dyDescent="0.25">
      <c r="AM308" s="510"/>
    </row>
    <row r="309" spans="39:39" x14ac:dyDescent="0.25">
      <c r="AM309" s="510"/>
    </row>
    <row r="310" spans="39:39" x14ac:dyDescent="0.25">
      <c r="AM310" s="510"/>
    </row>
    <row r="311" spans="39:39" x14ac:dyDescent="0.25">
      <c r="AM311" s="510"/>
    </row>
    <row r="312" spans="39:39" x14ac:dyDescent="0.25">
      <c r="AM312" s="510"/>
    </row>
    <row r="313" spans="39:39" x14ac:dyDescent="0.25">
      <c r="AM313" s="510"/>
    </row>
    <row r="314" spans="39:39" x14ac:dyDescent="0.25">
      <c r="AM314" s="510"/>
    </row>
    <row r="315" spans="39:39" x14ac:dyDescent="0.25">
      <c r="AM315" s="510"/>
    </row>
    <row r="316" spans="39:39" x14ac:dyDescent="0.25">
      <c r="AM316" s="510"/>
    </row>
    <row r="317" spans="39:39" x14ac:dyDescent="0.25">
      <c r="AM317" s="510"/>
    </row>
    <row r="318" spans="39:39" x14ac:dyDescent="0.25">
      <c r="AM318" s="510"/>
    </row>
  </sheetData>
  <mergeCells count="7">
    <mergeCell ref="AO262:AP262"/>
    <mergeCell ref="K4:N4"/>
    <mergeCell ref="O4:S4"/>
    <mergeCell ref="W4:AB4"/>
    <mergeCell ref="AG4:AJ4"/>
    <mergeCell ref="L5:M5"/>
    <mergeCell ref="L6:M6"/>
  </mergeCells>
  <hyperlinks>
    <hyperlink ref="AA5" r:id="rId1" xr:uid="{E95F45A5-25CB-4A24-B543-DFF311CE515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61EE-0270-4874-AAE2-2F2805BCA871}">
  <dimension ref="A3:P158"/>
  <sheetViews>
    <sheetView showGridLines="0" zoomScale="80" zoomScaleNormal="80" workbookViewId="0">
      <selection activeCell="C7" sqref="C7"/>
    </sheetView>
  </sheetViews>
  <sheetFormatPr defaultRowHeight="13.2" x14ac:dyDescent="0.25"/>
  <cols>
    <col min="2" max="2" width="54.44140625" customWidth="1"/>
    <col min="3" max="3" width="16.77734375" customWidth="1"/>
    <col min="4" max="4" width="15.21875" customWidth="1"/>
    <col min="5" max="9" width="3.21875" customWidth="1"/>
    <col min="11" max="11" width="18.21875" customWidth="1"/>
    <col min="13" max="13" width="17.77734375" customWidth="1"/>
    <col min="15" max="15" width="11.44140625" customWidth="1"/>
  </cols>
  <sheetData>
    <row r="3" spans="1:16" x14ac:dyDescent="0.25">
      <c r="A3" s="165"/>
      <c r="B3" s="165"/>
      <c r="C3" s="165"/>
      <c r="D3" s="165"/>
      <c r="E3" s="165"/>
      <c r="F3" s="165"/>
      <c r="G3" s="165"/>
      <c r="H3" s="165"/>
      <c r="I3" s="165"/>
      <c r="J3" s="165"/>
      <c r="K3" s="165"/>
      <c r="L3" s="165"/>
      <c r="M3" s="165"/>
      <c r="N3" s="165"/>
      <c r="O3" s="165"/>
      <c r="P3" s="165"/>
    </row>
    <row r="4" spans="1:16" ht="21" x14ac:dyDescent="0.4">
      <c r="A4" s="165"/>
      <c r="B4" s="208" t="s">
        <v>1204</v>
      </c>
      <c r="C4" s="209"/>
      <c r="D4" s="209"/>
      <c r="E4" s="209"/>
      <c r="F4" s="209"/>
      <c r="G4" s="209"/>
      <c r="H4" s="209"/>
      <c r="I4" s="209"/>
      <c r="J4" s="209"/>
      <c r="K4" s="209"/>
      <c r="L4" s="209"/>
      <c r="M4" s="209"/>
      <c r="N4" s="209"/>
      <c r="O4" s="210"/>
      <c r="P4" s="165"/>
    </row>
    <row r="5" spans="1:16" x14ac:dyDescent="0.25">
      <c r="A5" s="165"/>
      <c r="B5" s="165"/>
      <c r="C5" s="165"/>
      <c r="D5" s="165"/>
      <c r="E5" s="165"/>
      <c r="F5" s="165"/>
      <c r="G5" s="165"/>
      <c r="H5" s="165"/>
      <c r="I5" s="165"/>
      <c r="J5" s="165"/>
      <c r="K5" s="165"/>
      <c r="L5" s="165"/>
      <c r="M5" s="165"/>
      <c r="N5" s="165"/>
      <c r="O5" s="165"/>
      <c r="P5" s="165"/>
    </row>
    <row r="6" spans="1:16" ht="18.600000000000001" x14ac:dyDescent="0.45">
      <c r="A6" s="165"/>
      <c r="B6" s="166" t="s">
        <v>0</v>
      </c>
      <c r="C6" s="167">
        <f>'MENU '!B18</f>
        <v>0</v>
      </c>
      <c r="D6" s="168"/>
      <c r="E6" s="165"/>
      <c r="F6" s="165"/>
      <c r="G6" s="165"/>
      <c r="H6" s="165"/>
      <c r="I6" s="165"/>
      <c r="J6" s="165"/>
      <c r="K6" s="165"/>
      <c r="L6" s="165"/>
      <c r="M6" s="165"/>
      <c r="N6" s="165"/>
      <c r="O6" s="165"/>
      <c r="P6" s="165"/>
    </row>
    <row r="7" spans="1:16" ht="18.600000000000001" x14ac:dyDescent="0.45">
      <c r="A7" s="165"/>
      <c r="B7" s="166" t="s">
        <v>1</v>
      </c>
      <c r="C7" s="169">
        <f>'MENU '!G16</f>
        <v>0</v>
      </c>
      <c r="D7" s="170"/>
      <c r="E7" s="165"/>
      <c r="F7" s="165"/>
      <c r="G7" s="165"/>
      <c r="H7" s="165"/>
      <c r="I7" s="165"/>
      <c r="J7" s="165"/>
      <c r="K7" s="165"/>
      <c r="L7" s="165"/>
      <c r="M7" s="165"/>
      <c r="N7" s="165"/>
      <c r="O7" s="165"/>
      <c r="P7" s="165"/>
    </row>
    <row r="8" spans="1:16" ht="18.600000000000001" x14ac:dyDescent="0.45">
      <c r="A8" s="165"/>
      <c r="B8" s="166" t="s">
        <v>2</v>
      </c>
      <c r="C8" s="167">
        <f>'MENU '!B20</f>
        <v>0</v>
      </c>
      <c r="D8" s="168"/>
      <c r="E8" s="165"/>
      <c r="F8" s="165"/>
      <c r="G8" s="165"/>
      <c r="H8" s="165"/>
      <c r="I8" s="165"/>
      <c r="J8" s="165"/>
      <c r="K8" s="165"/>
      <c r="L8" s="165"/>
      <c r="M8" s="165"/>
      <c r="N8" s="165"/>
      <c r="O8" s="165"/>
      <c r="P8" s="165"/>
    </row>
    <row r="9" spans="1:16" ht="15.6" x14ac:dyDescent="0.3">
      <c r="A9" s="165"/>
      <c r="B9" s="166"/>
      <c r="C9" s="167"/>
      <c r="D9" s="171"/>
      <c r="E9" s="165"/>
      <c r="F9" s="165"/>
      <c r="G9" s="165"/>
      <c r="H9" s="165"/>
      <c r="I9" s="165"/>
      <c r="J9" s="165"/>
      <c r="K9" s="165"/>
      <c r="L9" s="165"/>
      <c r="M9" s="165"/>
      <c r="N9" s="165"/>
      <c r="O9" s="165"/>
      <c r="P9" s="165"/>
    </row>
    <row r="10" spans="1:16" ht="24.6" x14ac:dyDescent="0.4">
      <c r="A10" s="165"/>
      <c r="B10" s="211" t="s">
        <v>1106</v>
      </c>
      <c r="C10" s="212"/>
      <c r="D10" s="213" t="s">
        <v>1107</v>
      </c>
      <c r="E10" s="214"/>
      <c r="F10" s="214"/>
      <c r="G10" s="214"/>
      <c r="H10" s="214"/>
      <c r="I10" s="214"/>
      <c r="J10" s="214"/>
      <c r="K10" s="214"/>
      <c r="L10" s="215" t="s">
        <v>3</v>
      </c>
      <c r="M10" s="216">
        <f>'Schl Budget Share Notification'!L69</f>
        <v>0</v>
      </c>
      <c r="N10" s="214"/>
      <c r="O10" s="217"/>
      <c r="P10" s="165"/>
    </row>
    <row r="11" spans="1:16" ht="15.6" x14ac:dyDescent="0.3">
      <c r="A11" s="165"/>
      <c r="B11" s="166"/>
      <c r="C11" s="167"/>
      <c r="D11" s="171"/>
      <c r="E11" s="165"/>
      <c r="F11" s="165"/>
      <c r="G11" s="165"/>
      <c r="H11" s="165"/>
      <c r="I11" s="165"/>
      <c r="J11" s="165"/>
      <c r="K11" s="165"/>
      <c r="L11" s="165"/>
      <c r="M11" s="165"/>
      <c r="N11" s="165"/>
      <c r="O11" s="165"/>
      <c r="P11" s="165"/>
    </row>
    <row r="12" spans="1:16" ht="17.399999999999999" x14ac:dyDescent="0.3">
      <c r="A12" s="165"/>
      <c r="B12" s="211" t="s">
        <v>1108</v>
      </c>
      <c r="C12" s="218"/>
      <c r="D12" s="214" t="s">
        <v>1109</v>
      </c>
      <c r="E12" s="218"/>
      <c r="F12" s="218"/>
      <c r="G12" s="218"/>
      <c r="H12" s="218"/>
      <c r="I12" s="219"/>
      <c r="J12" s="219"/>
      <c r="K12" s="220"/>
      <c r="L12" s="219"/>
      <c r="M12" s="220"/>
      <c r="N12" s="220"/>
      <c r="O12" s="221"/>
      <c r="P12" s="165"/>
    </row>
    <row r="13" spans="1:16" x14ac:dyDescent="0.25">
      <c r="A13" s="165"/>
      <c r="B13" s="165"/>
      <c r="C13" s="165"/>
      <c r="D13" s="165"/>
      <c r="E13" s="165"/>
      <c r="F13" s="165"/>
      <c r="G13" s="165"/>
      <c r="H13" s="165"/>
      <c r="I13" s="165"/>
      <c r="J13" s="165"/>
      <c r="K13" s="165"/>
      <c r="L13" s="165"/>
      <c r="M13" s="165"/>
      <c r="N13" s="165"/>
      <c r="O13" s="165"/>
      <c r="P13" s="165"/>
    </row>
    <row r="14" spans="1:16" ht="16.5" customHeight="1" x14ac:dyDescent="0.45">
      <c r="A14" s="172"/>
      <c r="B14" s="173" t="s">
        <v>1137</v>
      </c>
      <c r="C14" s="173"/>
      <c r="D14" s="173"/>
      <c r="E14" s="173"/>
      <c r="F14" s="173"/>
      <c r="G14" s="173"/>
      <c r="H14" s="173"/>
      <c r="I14" s="173"/>
      <c r="J14" s="173"/>
      <c r="K14" s="173"/>
      <c r="L14" s="173"/>
      <c r="M14" s="173"/>
      <c r="N14" s="173"/>
      <c r="O14" s="173"/>
      <c r="P14" s="174"/>
    </row>
    <row r="15" spans="1:16" x14ac:dyDescent="0.25">
      <c r="A15" s="172"/>
      <c r="B15" s="172"/>
      <c r="C15" s="172"/>
      <c r="D15" s="166"/>
      <c r="E15" s="172"/>
      <c r="F15" s="172"/>
      <c r="G15" s="172"/>
      <c r="H15" s="172"/>
      <c r="I15" s="172"/>
      <c r="J15" s="172"/>
      <c r="K15" s="175"/>
      <c r="L15" s="175"/>
      <c r="M15" s="175" t="s">
        <v>3</v>
      </c>
      <c r="N15" s="175"/>
      <c r="O15" s="175" t="s">
        <v>3</v>
      </c>
      <c r="P15" s="172"/>
    </row>
    <row r="16" spans="1:16" ht="15.6" x14ac:dyDescent="0.3">
      <c r="A16" s="172"/>
      <c r="B16" s="176"/>
      <c r="C16" s="172"/>
      <c r="D16" s="172"/>
      <c r="E16" s="172"/>
      <c r="F16" s="172"/>
      <c r="G16" s="172"/>
      <c r="H16" s="172"/>
      <c r="I16" s="172"/>
      <c r="J16" s="172"/>
      <c r="K16" s="175"/>
      <c r="L16" s="172"/>
      <c r="M16" s="172"/>
      <c r="N16" s="172"/>
      <c r="O16" s="172"/>
      <c r="P16" s="172"/>
    </row>
    <row r="17" spans="1:16" x14ac:dyDescent="0.25">
      <c r="A17" s="172"/>
      <c r="B17" s="156"/>
      <c r="C17" s="157"/>
      <c r="D17" s="157"/>
      <c r="E17" s="157"/>
      <c r="F17" s="157"/>
      <c r="G17" s="157"/>
      <c r="H17" s="157"/>
      <c r="I17" s="158"/>
      <c r="J17" s="172"/>
      <c r="K17" s="175"/>
      <c r="L17" s="177"/>
      <c r="M17" s="148"/>
      <c r="N17" s="177"/>
      <c r="O17" s="178"/>
      <c r="P17" s="172"/>
    </row>
    <row r="18" spans="1:16" x14ac:dyDescent="0.25">
      <c r="A18" s="172"/>
      <c r="B18" s="156"/>
      <c r="C18" s="157"/>
      <c r="D18" s="157"/>
      <c r="E18" s="157"/>
      <c r="F18" s="157"/>
      <c r="G18" s="157"/>
      <c r="H18" s="157"/>
      <c r="I18" s="158"/>
      <c r="J18" s="172"/>
      <c r="K18" s="175"/>
      <c r="L18" s="177"/>
      <c r="M18" s="148"/>
      <c r="N18" s="177"/>
      <c r="O18" s="178"/>
      <c r="P18" s="172"/>
    </row>
    <row r="19" spans="1:16" x14ac:dyDescent="0.25">
      <c r="A19" s="172"/>
      <c r="B19" s="156"/>
      <c r="C19" s="157"/>
      <c r="D19" s="157"/>
      <c r="E19" s="157"/>
      <c r="F19" s="157"/>
      <c r="G19" s="157"/>
      <c r="H19" s="157"/>
      <c r="I19" s="158"/>
      <c r="J19" s="172"/>
      <c r="K19" s="175"/>
      <c r="L19" s="177"/>
      <c r="M19" s="148"/>
      <c r="N19" s="177"/>
      <c r="O19" s="178"/>
      <c r="P19" s="172"/>
    </row>
    <row r="20" spans="1:16" x14ac:dyDescent="0.25">
      <c r="A20" s="172"/>
      <c r="B20" s="156"/>
      <c r="C20" s="157"/>
      <c r="D20" s="157"/>
      <c r="E20" s="157"/>
      <c r="F20" s="157"/>
      <c r="G20" s="157"/>
      <c r="H20" s="157"/>
      <c r="I20" s="158"/>
      <c r="J20" s="172"/>
      <c r="K20" s="175"/>
      <c r="L20" s="177"/>
      <c r="M20" s="148"/>
      <c r="N20" s="177"/>
      <c r="O20" s="178"/>
      <c r="P20" s="172"/>
    </row>
    <row r="21" spans="1:16" x14ac:dyDescent="0.25">
      <c r="A21" s="172"/>
      <c r="B21" s="156"/>
      <c r="C21" s="157"/>
      <c r="D21" s="157"/>
      <c r="E21" s="157"/>
      <c r="F21" s="157"/>
      <c r="G21" s="157"/>
      <c r="H21" s="157"/>
      <c r="I21" s="158"/>
      <c r="J21" s="172"/>
      <c r="K21" s="175"/>
      <c r="L21" s="177"/>
      <c r="M21" s="148"/>
      <c r="N21" s="177"/>
      <c r="O21" s="178"/>
      <c r="P21" s="172"/>
    </row>
    <row r="22" spans="1:16" x14ac:dyDescent="0.25">
      <c r="A22" s="172"/>
      <c r="B22" s="156"/>
      <c r="C22" s="157"/>
      <c r="D22" s="157"/>
      <c r="E22" s="157"/>
      <c r="F22" s="157"/>
      <c r="G22" s="157"/>
      <c r="H22" s="157"/>
      <c r="I22" s="158"/>
      <c r="J22" s="172"/>
      <c r="K22" s="175"/>
      <c r="L22" s="177"/>
      <c r="M22" s="148"/>
      <c r="N22" s="177"/>
      <c r="O22" s="177"/>
      <c r="P22" s="172"/>
    </row>
    <row r="23" spans="1:16" x14ac:dyDescent="0.25">
      <c r="A23" s="172"/>
      <c r="B23" s="156"/>
      <c r="C23" s="157"/>
      <c r="D23" s="157"/>
      <c r="E23" s="157"/>
      <c r="F23" s="157"/>
      <c r="G23" s="157"/>
      <c r="H23" s="157"/>
      <c r="I23" s="158"/>
      <c r="J23" s="172"/>
      <c r="K23" s="175"/>
      <c r="L23" s="177"/>
      <c r="M23" s="148"/>
      <c r="N23" s="177"/>
      <c r="O23" s="177"/>
      <c r="P23" s="172"/>
    </row>
    <row r="24" spans="1:16" x14ac:dyDescent="0.25">
      <c r="A24" s="172"/>
      <c r="B24" s="172"/>
      <c r="C24" s="172"/>
      <c r="D24" s="172"/>
      <c r="E24" s="172"/>
      <c r="F24" s="172"/>
      <c r="G24" s="172"/>
      <c r="H24" s="172"/>
      <c r="I24" s="172"/>
      <c r="J24" s="172"/>
      <c r="K24" s="175"/>
      <c r="L24" s="177"/>
      <c r="M24" s="177"/>
      <c r="N24" s="177"/>
      <c r="O24" s="177"/>
      <c r="P24" s="172"/>
    </row>
    <row r="25" spans="1:16" x14ac:dyDescent="0.25">
      <c r="A25" s="172"/>
      <c r="B25" s="172"/>
      <c r="C25" s="172"/>
      <c r="D25" s="172"/>
      <c r="E25" s="172"/>
      <c r="F25" s="172"/>
      <c r="G25" s="172"/>
      <c r="H25" s="172"/>
      <c r="I25" s="172"/>
      <c r="J25" s="172"/>
      <c r="K25" s="175"/>
      <c r="L25" s="177"/>
      <c r="M25" s="149">
        <f>SUM(M17:M23)</f>
        <v>0</v>
      </c>
      <c r="N25" s="177"/>
      <c r="O25" s="177"/>
      <c r="P25" s="172"/>
    </row>
    <row r="26" spans="1:16" x14ac:dyDescent="0.25">
      <c r="A26" s="172"/>
      <c r="B26" s="172"/>
      <c r="C26" s="172"/>
      <c r="D26" s="172"/>
      <c r="E26" s="172"/>
      <c r="F26" s="172"/>
      <c r="G26" s="172"/>
      <c r="H26" s="172"/>
      <c r="I26" s="172"/>
      <c r="J26" s="172"/>
      <c r="K26" s="175"/>
      <c r="L26" s="177"/>
      <c r="M26" s="177"/>
      <c r="N26" s="177"/>
      <c r="O26" s="177"/>
      <c r="P26" s="180"/>
    </row>
    <row r="27" spans="1:16" x14ac:dyDescent="0.25">
      <c r="A27" s="172"/>
      <c r="B27" s="172"/>
      <c r="C27" s="166"/>
      <c r="D27" s="166"/>
      <c r="E27" s="172"/>
      <c r="F27" s="172"/>
      <c r="G27" s="172"/>
      <c r="H27" s="172"/>
      <c r="I27" s="172"/>
      <c r="J27" s="172"/>
      <c r="K27" s="177"/>
      <c r="L27" s="177"/>
      <c r="M27" s="177"/>
      <c r="N27" s="177"/>
      <c r="O27" s="175"/>
      <c r="P27" s="172"/>
    </row>
    <row r="28" spans="1:16" ht="15.6" x14ac:dyDescent="0.3">
      <c r="A28" s="172"/>
      <c r="B28" s="172"/>
      <c r="C28" s="166"/>
      <c r="D28" s="166"/>
      <c r="E28" s="172"/>
      <c r="F28" s="172"/>
      <c r="G28" s="172"/>
      <c r="H28" s="172"/>
      <c r="I28" s="166"/>
      <c r="J28" s="166"/>
      <c r="K28" s="166"/>
      <c r="L28" s="177"/>
      <c r="M28" s="177"/>
      <c r="N28" s="177"/>
      <c r="O28" s="222">
        <f>M25</f>
        <v>0</v>
      </c>
      <c r="P28" s="172"/>
    </row>
    <row r="29" spans="1:16" x14ac:dyDescent="0.25">
      <c r="A29" s="172"/>
      <c r="B29" s="172"/>
      <c r="C29" s="166"/>
      <c r="D29" s="172"/>
      <c r="E29" s="172"/>
      <c r="F29" s="172"/>
      <c r="G29" s="172"/>
      <c r="H29" s="172"/>
      <c r="I29" s="181"/>
      <c r="J29" s="181"/>
      <c r="K29" s="182"/>
      <c r="L29" s="181"/>
      <c r="M29" s="182"/>
      <c r="N29" s="182"/>
      <c r="O29" s="175" t="s">
        <v>1111</v>
      </c>
      <c r="P29" s="172"/>
    </row>
    <row r="30" spans="1:16" ht="18.600000000000001" x14ac:dyDescent="0.45">
      <c r="A30" s="172"/>
      <c r="B30" s="183" t="s">
        <v>1112</v>
      </c>
      <c r="C30" s="166"/>
      <c r="D30" s="172"/>
      <c r="E30" s="172"/>
      <c r="F30" s="172"/>
      <c r="G30" s="172"/>
      <c r="H30" s="172"/>
      <c r="I30" s="181"/>
      <c r="J30" s="181"/>
      <c r="K30" s="182"/>
      <c r="L30" s="181"/>
      <c r="M30" s="182"/>
      <c r="N30" s="182"/>
      <c r="O30" s="182"/>
      <c r="P30" s="172"/>
    </row>
    <row r="31" spans="1:16" x14ac:dyDescent="0.25">
      <c r="A31" s="172"/>
      <c r="B31" s="172"/>
      <c r="C31" s="166"/>
      <c r="D31" s="172"/>
      <c r="E31" s="172"/>
      <c r="F31" s="172"/>
      <c r="G31" s="172"/>
      <c r="H31" s="172"/>
      <c r="I31" s="181"/>
      <c r="J31" s="181"/>
      <c r="K31" s="182"/>
      <c r="L31" s="181"/>
      <c r="M31" s="182"/>
      <c r="N31" s="182"/>
      <c r="O31" s="182"/>
      <c r="P31" s="172"/>
    </row>
    <row r="32" spans="1:16" ht="15.6" x14ac:dyDescent="0.3">
      <c r="A32" s="172"/>
      <c r="B32" s="176" t="s">
        <v>1113</v>
      </c>
      <c r="C32" s="166"/>
      <c r="D32" s="172"/>
      <c r="E32" s="172"/>
      <c r="F32" s="172"/>
      <c r="G32" s="172"/>
      <c r="H32" s="172"/>
      <c r="I32" s="181"/>
      <c r="J32" s="181"/>
      <c r="K32" s="181"/>
      <c r="L32" s="181"/>
      <c r="M32" s="177"/>
      <c r="N32" s="177"/>
      <c r="O32" s="177"/>
      <c r="P32" s="172"/>
    </row>
    <row r="33" spans="1:16" x14ac:dyDescent="0.25">
      <c r="A33" s="172"/>
      <c r="B33" s="156"/>
      <c r="C33" s="157"/>
      <c r="D33" s="157"/>
      <c r="E33" s="157"/>
      <c r="F33" s="157"/>
      <c r="G33" s="157"/>
      <c r="H33" s="157"/>
      <c r="I33" s="158"/>
      <c r="J33" s="181"/>
      <c r="K33" s="181"/>
      <c r="L33" s="181"/>
      <c r="M33" s="148"/>
      <c r="N33" s="177"/>
      <c r="O33" s="178"/>
      <c r="P33" s="172"/>
    </row>
    <row r="34" spans="1:16" x14ac:dyDescent="0.25">
      <c r="A34" s="172"/>
      <c r="B34" s="156"/>
      <c r="C34" s="157"/>
      <c r="D34" s="157"/>
      <c r="E34" s="157"/>
      <c r="F34" s="157"/>
      <c r="G34" s="157"/>
      <c r="H34" s="157"/>
      <c r="I34" s="158"/>
      <c r="J34" s="181"/>
      <c r="K34" s="181"/>
      <c r="L34" s="181"/>
      <c r="M34" s="148"/>
      <c r="N34" s="177"/>
      <c r="O34" s="178"/>
      <c r="P34" s="172"/>
    </row>
    <row r="35" spans="1:16" x14ac:dyDescent="0.25">
      <c r="A35" s="172"/>
      <c r="B35" s="156"/>
      <c r="C35" s="157"/>
      <c r="D35" s="157"/>
      <c r="E35" s="157"/>
      <c r="F35" s="157"/>
      <c r="G35" s="157"/>
      <c r="H35" s="157"/>
      <c r="I35" s="158"/>
      <c r="J35" s="181"/>
      <c r="K35" s="181"/>
      <c r="L35" s="181"/>
      <c r="M35" s="148"/>
      <c r="N35" s="177"/>
      <c r="O35" s="178"/>
      <c r="P35" s="172"/>
    </row>
    <row r="36" spans="1:16" x14ac:dyDescent="0.25">
      <c r="A36" s="172"/>
      <c r="B36" s="156"/>
      <c r="C36" s="157"/>
      <c r="D36" s="157"/>
      <c r="E36" s="157"/>
      <c r="F36" s="157"/>
      <c r="G36" s="157"/>
      <c r="H36" s="157"/>
      <c r="I36" s="158"/>
      <c r="J36" s="181"/>
      <c r="K36" s="181"/>
      <c r="L36" s="181"/>
      <c r="M36" s="148"/>
      <c r="N36" s="177"/>
      <c r="O36" s="178"/>
      <c r="P36" s="172"/>
    </row>
    <row r="37" spans="1:16" x14ac:dyDescent="0.25">
      <c r="A37" s="172"/>
      <c r="B37" s="156"/>
      <c r="C37" s="157"/>
      <c r="D37" s="157"/>
      <c r="E37" s="157"/>
      <c r="F37" s="157"/>
      <c r="G37" s="157"/>
      <c r="H37" s="157"/>
      <c r="I37" s="158"/>
      <c r="J37" s="181"/>
      <c r="K37" s="181"/>
      <c r="L37" s="181"/>
      <c r="M37" s="148"/>
      <c r="N37" s="177"/>
      <c r="O37" s="178"/>
      <c r="P37" s="172"/>
    </row>
    <row r="38" spans="1:16" x14ac:dyDescent="0.25">
      <c r="A38" s="172"/>
      <c r="B38" s="172"/>
      <c r="C38" s="166"/>
      <c r="D38" s="172"/>
      <c r="E38" s="172"/>
      <c r="F38" s="172"/>
      <c r="G38" s="172"/>
      <c r="H38" s="172"/>
      <c r="I38" s="181"/>
      <c r="J38" s="181"/>
      <c r="K38" s="181"/>
      <c r="L38" s="181"/>
      <c r="M38" s="181"/>
      <c r="N38" s="177"/>
      <c r="O38" s="177"/>
      <c r="P38" s="172"/>
    </row>
    <row r="39" spans="1:16" x14ac:dyDescent="0.25">
      <c r="A39" s="172"/>
      <c r="B39" s="172"/>
      <c r="C39" s="166"/>
      <c r="D39" s="166"/>
      <c r="E39" s="172"/>
      <c r="F39" s="172"/>
      <c r="G39" s="172"/>
      <c r="H39" s="172"/>
      <c r="I39" s="181"/>
      <c r="J39" s="181"/>
      <c r="K39" s="181"/>
      <c r="L39" s="181"/>
      <c r="M39" s="149">
        <f>SUM(M33:M37)</f>
        <v>0</v>
      </c>
      <c r="N39" s="181"/>
      <c r="O39" s="181"/>
      <c r="P39" s="172"/>
    </row>
    <row r="40" spans="1:16" x14ac:dyDescent="0.25">
      <c r="A40" s="172"/>
      <c r="B40" s="172"/>
      <c r="C40" s="166"/>
      <c r="D40" s="166"/>
      <c r="E40" s="172"/>
      <c r="F40" s="172"/>
      <c r="G40" s="172"/>
      <c r="H40" s="172"/>
      <c r="I40" s="181"/>
      <c r="J40" s="181"/>
      <c r="K40" s="181"/>
      <c r="L40" s="181"/>
      <c r="M40" s="181"/>
      <c r="N40" s="181"/>
      <c r="O40" s="181"/>
      <c r="P40" s="172"/>
    </row>
    <row r="41" spans="1:16" ht="15.6" x14ac:dyDescent="0.3">
      <c r="A41" s="172"/>
      <c r="B41" s="176" t="s">
        <v>1114</v>
      </c>
      <c r="C41" s="166"/>
      <c r="D41" s="172"/>
      <c r="E41" s="172"/>
      <c r="F41" s="172"/>
      <c r="G41" s="172"/>
      <c r="H41" s="172"/>
      <c r="I41" s="181"/>
      <c r="J41" s="181"/>
      <c r="K41" s="181"/>
      <c r="L41" s="181"/>
      <c r="M41" s="181"/>
      <c r="N41" s="181"/>
      <c r="O41" s="181"/>
      <c r="P41" s="172"/>
    </row>
    <row r="42" spans="1:16" x14ac:dyDescent="0.25">
      <c r="A42" s="172"/>
      <c r="B42" s="156"/>
      <c r="C42" s="157"/>
      <c r="D42" s="157"/>
      <c r="E42" s="157"/>
      <c r="F42" s="157"/>
      <c r="G42" s="157"/>
      <c r="H42" s="157"/>
      <c r="I42" s="158"/>
      <c r="J42" s="175"/>
      <c r="K42" s="181"/>
      <c r="L42" s="184"/>
      <c r="M42" s="148"/>
      <c r="N42" s="184"/>
      <c r="O42" s="178"/>
      <c r="P42" s="166"/>
    </row>
    <row r="43" spans="1:16" x14ac:dyDescent="0.25">
      <c r="A43" s="172"/>
      <c r="B43" s="156"/>
      <c r="C43" s="157"/>
      <c r="D43" s="157"/>
      <c r="E43" s="157"/>
      <c r="F43" s="157"/>
      <c r="G43" s="157"/>
      <c r="H43" s="157"/>
      <c r="I43" s="158"/>
      <c r="J43" s="181"/>
      <c r="K43" s="181"/>
      <c r="L43" s="181"/>
      <c r="M43" s="148"/>
      <c r="N43" s="181"/>
      <c r="O43" s="178"/>
      <c r="P43" s="172"/>
    </row>
    <row r="44" spans="1:16" x14ac:dyDescent="0.25">
      <c r="A44" s="172"/>
      <c r="B44" s="156"/>
      <c r="C44" s="157"/>
      <c r="D44" s="157"/>
      <c r="E44" s="157"/>
      <c r="F44" s="157"/>
      <c r="G44" s="157"/>
      <c r="H44" s="157"/>
      <c r="I44" s="158"/>
      <c r="J44" s="182"/>
      <c r="K44" s="181"/>
      <c r="L44" s="179"/>
      <c r="M44" s="148"/>
      <c r="N44" s="179"/>
      <c r="O44" s="178"/>
      <c r="P44" s="172"/>
    </row>
    <row r="45" spans="1:16" x14ac:dyDescent="0.25">
      <c r="A45" s="172"/>
      <c r="B45" s="172"/>
      <c r="C45" s="172"/>
      <c r="D45" s="172"/>
      <c r="E45" s="172"/>
      <c r="F45" s="172"/>
      <c r="G45" s="172"/>
      <c r="H45" s="172"/>
      <c r="I45" s="182"/>
      <c r="J45" s="182"/>
      <c r="K45" s="181"/>
      <c r="L45" s="179"/>
      <c r="M45" s="177"/>
      <c r="N45" s="179"/>
      <c r="O45" s="179"/>
      <c r="P45" s="172"/>
    </row>
    <row r="46" spans="1:16" x14ac:dyDescent="0.25">
      <c r="A46" s="172"/>
      <c r="B46" s="172"/>
      <c r="C46" s="172"/>
      <c r="D46" s="172"/>
      <c r="E46" s="172"/>
      <c r="F46" s="172"/>
      <c r="G46" s="172"/>
      <c r="H46" s="172"/>
      <c r="I46" s="166"/>
      <c r="J46" s="166"/>
      <c r="K46" s="181"/>
      <c r="L46" s="179"/>
      <c r="M46" s="149">
        <f>SUM(M42:M44)</f>
        <v>0</v>
      </c>
      <c r="N46" s="179"/>
      <c r="O46" s="179"/>
      <c r="P46" s="172"/>
    </row>
    <row r="47" spans="1:16" x14ac:dyDescent="0.25">
      <c r="A47" s="172"/>
      <c r="B47" s="172"/>
      <c r="C47" s="172"/>
      <c r="D47" s="172"/>
      <c r="E47" s="172"/>
      <c r="F47" s="172"/>
      <c r="G47" s="172"/>
      <c r="H47" s="172"/>
      <c r="I47" s="182"/>
      <c r="J47" s="182"/>
      <c r="K47" s="177"/>
      <c r="L47" s="179"/>
      <c r="M47" s="179"/>
      <c r="N47" s="179"/>
      <c r="O47" s="179"/>
      <c r="P47" s="172"/>
    </row>
    <row r="48" spans="1:16" ht="15.6" x14ac:dyDescent="0.3">
      <c r="A48" s="165"/>
      <c r="B48" s="165"/>
      <c r="C48" s="165"/>
      <c r="D48" s="185"/>
      <c r="E48" s="185"/>
      <c r="F48" s="185"/>
      <c r="G48" s="185"/>
      <c r="H48" s="185"/>
      <c r="I48" s="166"/>
      <c r="J48" s="166"/>
      <c r="K48" s="186"/>
      <c r="L48" s="187"/>
      <c r="M48" s="179"/>
      <c r="N48" s="179"/>
      <c r="O48" s="222">
        <f>M39+M46</f>
        <v>0</v>
      </c>
      <c r="P48" s="165"/>
    </row>
    <row r="49" spans="1:16" x14ac:dyDescent="0.25">
      <c r="A49" s="145"/>
      <c r="B49" s="145"/>
      <c r="C49" s="145"/>
      <c r="D49" s="145"/>
      <c r="E49" s="145"/>
      <c r="F49" s="145"/>
      <c r="G49" s="145"/>
      <c r="H49" s="145"/>
      <c r="I49" s="150"/>
      <c r="J49" s="150"/>
      <c r="K49" s="150"/>
      <c r="L49" s="150"/>
      <c r="M49" s="150"/>
      <c r="N49" s="150"/>
      <c r="O49" s="151" t="s">
        <v>1111</v>
      </c>
      <c r="P49" s="145"/>
    </row>
    <row r="50" spans="1:16" x14ac:dyDescent="0.25">
      <c r="A50" s="165"/>
      <c r="B50" s="165"/>
      <c r="C50" s="165"/>
      <c r="D50" s="165"/>
      <c r="E50" s="165"/>
      <c r="F50" s="165"/>
      <c r="G50" s="165"/>
      <c r="H50" s="165"/>
      <c r="I50" s="188"/>
      <c r="J50" s="188"/>
      <c r="K50" s="188"/>
      <c r="L50" s="188"/>
      <c r="M50" s="188"/>
      <c r="N50" s="188"/>
      <c r="O50" s="188"/>
      <c r="P50" s="165"/>
    </row>
    <row r="51" spans="1:16" ht="15.75" customHeight="1" x14ac:dyDescent="0.45">
      <c r="A51" s="172"/>
      <c r="B51" s="173" t="s">
        <v>1115</v>
      </c>
      <c r="C51" s="173"/>
      <c r="D51" s="173"/>
      <c r="E51" s="173"/>
      <c r="F51" s="173"/>
      <c r="G51" s="173"/>
      <c r="H51" s="173"/>
      <c r="I51" s="173"/>
      <c r="J51" s="173"/>
      <c r="K51" s="173"/>
      <c r="L51" s="173"/>
      <c r="M51" s="173"/>
      <c r="N51" s="173"/>
      <c r="O51" s="173"/>
      <c r="P51" s="189"/>
    </row>
    <row r="52" spans="1:16" x14ac:dyDescent="0.25">
      <c r="A52" s="172"/>
      <c r="B52" s="172"/>
      <c r="C52" s="172"/>
      <c r="D52" s="166"/>
      <c r="E52" s="172"/>
      <c r="F52" s="172"/>
      <c r="G52" s="172"/>
      <c r="H52" s="172"/>
      <c r="I52" s="172"/>
      <c r="J52" s="172"/>
      <c r="K52" s="190" t="s">
        <v>1116</v>
      </c>
      <c r="L52" s="175"/>
      <c r="M52" s="175" t="s">
        <v>3</v>
      </c>
      <c r="N52" s="175"/>
      <c r="O52" s="175" t="s">
        <v>3</v>
      </c>
      <c r="P52" s="175"/>
    </row>
    <row r="53" spans="1:16" ht="15.6" x14ac:dyDescent="0.3">
      <c r="A53" s="172"/>
      <c r="B53" s="176" t="s">
        <v>1117</v>
      </c>
      <c r="C53" s="172"/>
      <c r="D53" s="172"/>
      <c r="E53" s="172"/>
      <c r="F53" s="172"/>
      <c r="G53" s="172"/>
      <c r="H53" s="172"/>
      <c r="I53" s="172"/>
      <c r="J53" s="172"/>
      <c r="K53" s="191" t="s">
        <v>1118</v>
      </c>
      <c r="L53" s="172"/>
      <c r="M53" s="172"/>
      <c r="N53" s="172"/>
      <c r="O53" s="172"/>
      <c r="P53" s="172"/>
    </row>
    <row r="54" spans="1:16" x14ac:dyDescent="0.25">
      <c r="A54" s="172"/>
      <c r="B54" s="156"/>
      <c r="C54" s="157"/>
      <c r="D54" s="157"/>
      <c r="E54" s="157"/>
      <c r="F54" s="157"/>
      <c r="G54" s="157"/>
      <c r="H54" s="157"/>
      <c r="I54" s="158"/>
      <c r="J54" s="172"/>
      <c r="K54" s="152"/>
      <c r="L54" s="177"/>
      <c r="M54" s="148"/>
      <c r="N54" s="177"/>
      <c r="O54" s="178"/>
      <c r="P54" s="177"/>
    </row>
    <row r="55" spans="1:16" x14ac:dyDescent="0.25">
      <c r="A55" s="172"/>
      <c r="B55" s="156"/>
      <c r="C55" s="157"/>
      <c r="D55" s="157"/>
      <c r="E55" s="157"/>
      <c r="F55" s="157"/>
      <c r="G55" s="157"/>
      <c r="H55" s="157"/>
      <c r="I55" s="158"/>
      <c r="J55" s="172"/>
      <c r="K55" s="152"/>
      <c r="L55" s="177"/>
      <c r="M55" s="148"/>
      <c r="N55" s="177"/>
      <c r="O55" s="178"/>
      <c r="P55" s="177"/>
    </row>
    <row r="56" spans="1:16" x14ac:dyDescent="0.25">
      <c r="A56" s="172"/>
      <c r="B56" s="156"/>
      <c r="C56" s="157"/>
      <c r="D56" s="157"/>
      <c r="E56" s="157"/>
      <c r="F56" s="157"/>
      <c r="G56" s="157"/>
      <c r="H56" s="157"/>
      <c r="I56" s="158"/>
      <c r="J56" s="172"/>
      <c r="K56" s="152"/>
      <c r="L56" s="177"/>
      <c r="M56" s="148"/>
      <c r="N56" s="177"/>
      <c r="O56" s="178"/>
      <c r="P56" s="177"/>
    </row>
    <row r="57" spans="1:16" x14ac:dyDescent="0.25">
      <c r="A57" s="172"/>
      <c r="B57" s="156"/>
      <c r="C57" s="157"/>
      <c r="D57" s="157"/>
      <c r="E57" s="157"/>
      <c r="F57" s="157"/>
      <c r="G57" s="157"/>
      <c r="H57" s="157"/>
      <c r="I57" s="158"/>
      <c r="J57" s="172"/>
      <c r="K57" s="152"/>
      <c r="L57" s="177"/>
      <c r="M57" s="148"/>
      <c r="N57" s="177"/>
      <c r="O57" s="178"/>
      <c r="P57" s="177"/>
    </row>
    <row r="58" spans="1:16" x14ac:dyDescent="0.25">
      <c r="A58" s="172"/>
      <c r="B58" s="156"/>
      <c r="C58" s="157"/>
      <c r="D58" s="157"/>
      <c r="E58" s="157"/>
      <c r="F58" s="157"/>
      <c r="G58" s="157"/>
      <c r="H58" s="157"/>
      <c r="I58" s="158"/>
      <c r="J58" s="172"/>
      <c r="K58" s="152"/>
      <c r="L58" s="177"/>
      <c r="M58" s="148"/>
      <c r="N58" s="177"/>
      <c r="O58" s="178"/>
      <c r="P58" s="177"/>
    </row>
    <row r="59" spans="1:16" x14ac:dyDescent="0.25">
      <c r="A59" s="172"/>
      <c r="B59" s="172"/>
      <c r="C59" s="172"/>
      <c r="D59" s="172"/>
      <c r="E59" s="172"/>
      <c r="F59" s="172"/>
      <c r="G59" s="172"/>
      <c r="H59" s="172"/>
      <c r="I59" s="172"/>
      <c r="J59" s="172"/>
      <c r="K59" s="192"/>
      <c r="L59" s="177"/>
      <c r="M59" s="177"/>
      <c r="N59" s="177"/>
      <c r="O59" s="177"/>
      <c r="P59" s="177"/>
    </row>
    <row r="60" spans="1:16" x14ac:dyDescent="0.25">
      <c r="A60" s="172"/>
      <c r="B60" s="172"/>
      <c r="C60" s="172"/>
      <c r="D60" s="172"/>
      <c r="E60" s="172"/>
      <c r="F60" s="172"/>
      <c r="G60" s="172"/>
      <c r="H60" s="172"/>
      <c r="I60" s="172"/>
      <c r="J60" s="172"/>
      <c r="K60" s="192"/>
      <c r="L60" s="177"/>
      <c r="M60" s="149">
        <f>SUM(M54:M58)</f>
        <v>0</v>
      </c>
      <c r="N60" s="179"/>
      <c r="O60" s="177"/>
      <c r="P60" s="177"/>
    </row>
    <row r="61" spans="1:16" x14ac:dyDescent="0.25">
      <c r="A61" s="172"/>
      <c r="B61" s="172"/>
      <c r="C61" s="172"/>
      <c r="D61" s="172"/>
      <c r="E61" s="172"/>
      <c r="F61" s="172"/>
      <c r="G61" s="172"/>
      <c r="H61" s="172"/>
      <c r="I61" s="172"/>
      <c r="J61" s="172"/>
      <c r="K61" s="193"/>
      <c r="L61" s="177"/>
      <c r="M61" s="179"/>
      <c r="N61" s="179"/>
      <c r="O61" s="177"/>
      <c r="P61" s="177"/>
    </row>
    <row r="62" spans="1:16" ht="15.6" x14ac:dyDescent="0.3">
      <c r="A62" s="172"/>
      <c r="B62" s="176" t="s">
        <v>1119</v>
      </c>
      <c r="C62" s="172"/>
      <c r="D62" s="172"/>
      <c r="E62" s="172"/>
      <c r="F62" s="172"/>
      <c r="G62" s="172"/>
      <c r="H62" s="172"/>
      <c r="I62" s="172"/>
      <c r="J62" s="172"/>
      <c r="K62" s="192"/>
      <c r="L62" s="177"/>
      <c r="M62" s="172"/>
      <c r="N62" s="172"/>
      <c r="O62" s="177"/>
      <c r="P62" s="177"/>
    </row>
    <row r="63" spans="1:16" x14ac:dyDescent="0.25">
      <c r="A63" s="172"/>
      <c r="B63" s="156"/>
      <c r="C63" s="157"/>
      <c r="D63" s="157"/>
      <c r="E63" s="157"/>
      <c r="F63" s="157"/>
      <c r="G63" s="157"/>
      <c r="H63" s="157"/>
      <c r="I63" s="158"/>
      <c r="J63" s="172"/>
      <c r="K63" s="152"/>
      <c r="L63" s="177"/>
      <c r="M63" s="148"/>
      <c r="N63" s="177"/>
      <c r="O63" s="178"/>
      <c r="P63" s="177"/>
    </row>
    <row r="64" spans="1:16" x14ac:dyDescent="0.25">
      <c r="A64" s="172"/>
      <c r="B64" s="156"/>
      <c r="C64" s="157"/>
      <c r="D64" s="157"/>
      <c r="E64" s="157"/>
      <c r="F64" s="157"/>
      <c r="G64" s="157"/>
      <c r="H64" s="157"/>
      <c r="I64" s="158"/>
      <c r="J64" s="172"/>
      <c r="K64" s="152"/>
      <c r="L64" s="177"/>
      <c r="M64" s="148"/>
      <c r="N64" s="177"/>
      <c r="O64" s="178"/>
      <c r="P64" s="177"/>
    </row>
    <row r="65" spans="1:16" x14ac:dyDescent="0.25">
      <c r="A65" s="172"/>
      <c r="B65" s="156"/>
      <c r="C65" s="157"/>
      <c r="D65" s="157"/>
      <c r="E65" s="157"/>
      <c r="F65" s="157"/>
      <c r="G65" s="157"/>
      <c r="H65" s="157"/>
      <c r="I65" s="158"/>
      <c r="J65" s="172"/>
      <c r="K65" s="152"/>
      <c r="L65" s="177"/>
      <c r="M65" s="148"/>
      <c r="N65" s="177"/>
      <c r="O65" s="178"/>
      <c r="P65" s="177"/>
    </row>
    <row r="66" spans="1:16" x14ac:dyDescent="0.25">
      <c r="A66" s="172"/>
      <c r="B66" s="156"/>
      <c r="C66" s="157"/>
      <c r="D66" s="157"/>
      <c r="E66" s="157"/>
      <c r="F66" s="157"/>
      <c r="G66" s="157"/>
      <c r="H66" s="157"/>
      <c r="I66" s="158"/>
      <c r="J66" s="172"/>
      <c r="K66" s="152"/>
      <c r="L66" s="177"/>
      <c r="M66" s="148"/>
      <c r="N66" s="177"/>
      <c r="O66" s="178"/>
      <c r="P66" s="177"/>
    </row>
    <row r="67" spans="1:16" x14ac:dyDescent="0.25">
      <c r="A67" s="172"/>
      <c r="B67" s="156"/>
      <c r="C67" s="157"/>
      <c r="D67" s="157"/>
      <c r="E67" s="157"/>
      <c r="F67" s="157"/>
      <c r="G67" s="157"/>
      <c r="H67" s="157"/>
      <c r="I67" s="158"/>
      <c r="J67" s="172"/>
      <c r="K67" s="152"/>
      <c r="L67" s="177"/>
      <c r="M67" s="148"/>
      <c r="N67" s="177"/>
      <c r="O67" s="178"/>
      <c r="P67" s="177"/>
    </row>
    <row r="68" spans="1:16" x14ac:dyDescent="0.25">
      <c r="A68" s="172"/>
      <c r="B68" s="172"/>
      <c r="C68" s="172"/>
      <c r="D68" s="172"/>
      <c r="E68" s="172"/>
      <c r="F68" s="172"/>
      <c r="G68" s="172"/>
      <c r="H68" s="172"/>
      <c r="I68" s="172"/>
      <c r="J68" s="172"/>
      <c r="K68" s="192"/>
      <c r="L68" s="177"/>
      <c r="M68" s="177"/>
      <c r="N68" s="177"/>
      <c r="O68" s="177"/>
      <c r="P68" s="177"/>
    </row>
    <row r="69" spans="1:16" x14ac:dyDescent="0.25">
      <c r="A69" s="172"/>
      <c r="B69" s="172"/>
      <c r="C69" s="172"/>
      <c r="D69" s="172"/>
      <c r="E69" s="172"/>
      <c r="F69" s="172"/>
      <c r="G69" s="172"/>
      <c r="H69" s="172"/>
      <c r="I69" s="172"/>
      <c r="J69" s="172"/>
      <c r="K69" s="192"/>
      <c r="L69" s="177"/>
      <c r="M69" s="149">
        <f>SUM(M63:M67)</f>
        <v>0</v>
      </c>
      <c r="N69" s="179"/>
      <c r="O69" s="177"/>
      <c r="P69" s="177"/>
    </row>
    <row r="70" spans="1:16" x14ac:dyDescent="0.25">
      <c r="A70" s="172"/>
      <c r="B70" s="172"/>
      <c r="C70" s="172"/>
      <c r="D70" s="172"/>
      <c r="E70" s="172"/>
      <c r="F70" s="172"/>
      <c r="G70" s="172"/>
      <c r="H70" s="172"/>
      <c r="I70" s="172"/>
      <c r="J70" s="172"/>
      <c r="K70" s="193"/>
      <c r="L70" s="177"/>
      <c r="M70" s="179"/>
      <c r="N70" s="179"/>
      <c r="O70" s="177"/>
      <c r="P70" s="177"/>
    </row>
    <row r="71" spans="1:16" ht="15.6" x14ac:dyDescent="0.3">
      <c r="A71" s="172"/>
      <c r="B71" s="176" t="s">
        <v>1120</v>
      </c>
      <c r="C71" s="172"/>
      <c r="D71" s="172"/>
      <c r="E71" s="172"/>
      <c r="F71" s="172"/>
      <c r="G71" s="172"/>
      <c r="H71" s="172"/>
      <c r="I71" s="172"/>
      <c r="J71" s="172"/>
      <c r="K71" s="192"/>
      <c r="L71" s="177"/>
      <c r="M71" s="172"/>
      <c r="N71" s="172"/>
      <c r="O71" s="177"/>
      <c r="P71" s="177"/>
    </row>
    <row r="72" spans="1:16" x14ac:dyDescent="0.25">
      <c r="A72" s="172"/>
      <c r="B72" s="156"/>
      <c r="C72" s="157"/>
      <c r="D72" s="157"/>
      <c r="E72" s="157"/>
      <c r="F72" s="157"/>
      <c r="G72" s="157"/>
      <c r="H72" s="157"/>
      <c r="I72" s="158"/>
      <c r="J72" s="172"/>
      <c r="K72" s="152"/>
      <c r="L72" s="177"/>
      <c r="M72" s="148"/>
      <c r="N72" s="177"/>
      <c r="O72" s="178"/>
      <c r="P72" s="177"/>
    </row>
    <row r="73" spans="1:16" x14ac:dyDescent="0.25">
      <c r="A73" s="172"/>
      <c r="B73" s="156"/>
      <c r="C73" s="157"/>
      <c r="D73" s="157"/>
      <c r="E73" s="157"/>
      <c r="F73" s="157"/>
      <c r="G73" s="157"/>
      <c r="H73" s="157"/>
      <c r="I73" s="158"/>
      <c r="J73" s="172"/>
      <c r="K73" s="152"/>
      <c r="L73" s="177"/>
      <c r="M73" s="148"/>
      <c r="N73" s="177"/>
      <c r="O73" s="178"/>
      <c r="P73" s="177"/>
    </row>
    <row r="74" spans="1:16" x14ac:dyDescent="0.25">
      <c r="A74" s="172"/>
      <c r="B74" s="156"/>
      <c r="C74" s="157"/>
      <c r="D74" s="157"/>
      <c r="E74" s="157"/>
      <c r="F74" s="157"/>
      <c r="G74" s="157"/>
      <c r="H74" s="157"/>
      <c r="I74" s="158"/>
      <c r="J74" s="172"/>
      <c r="K74" s="152"/>
      <c r="L74" s="177"/>
      <c r="M74" s="148"/>
      <c r="N74" s="177"/>
      <c r="O74" s="178"/>
      <c r="P74" s="177"/>
    </row>
    <row r="75" spans="1:16" x14ac:dyDescent="0.25">
      <c r="A75" s="172"/>
      <c r="B75" s="172"/>
      <c r="C75" s="172"/>
      <c r="D75" s="172"/>
      <c r="E75" s="172"/>
      <c r="F75" s="172"/>
      <c r="G75" s="172"/>
      <c r="H75" s="172"/>
      <c r="I75" s="172"/>
      <c r="J75" s="172"/>
      <c r="K75" s="192"/>
      <c r="L75" s="177"/>
      <c r="M75" s="177"/>
      <c r="N75" s="177"/>
      <c r="O75" s="177"/>
      <c r="P75" s="177"/>
    </row>
    <row r="76" spans="1:16" x14ac:dyDescent="0.25">
      <c r="A76" s="172"/>
      <c r="B76" s="172"/>
      <c r="C76" s="172"/>
      <c r="D76" s="172"/>
      <c r="E76" s="172"/>
      <c r="F76" s="172"/>
      <c r="G76" s="172"/>
      <c r="H76" s="172"/>
      <c r="I76" s="172"/>
      <c r="J76" s="172"/>
      <c r="K76" s="192"/>
      <c r="L76" s="177"/>
      <c r="M76" s="149">
        <f>SUM(M72:M74)</f>
        <v>0</v>
      </c>
      <c r="N76" s="179"/>
      <c r="O76" s="177"/>
      <c r="P76" s="177"/>
    </row>
    <row r="77" spans="1:16" x14ac:dyDescent="0.25">
      <c r="A77" s="172"/>
      <c r="B77" s="172"/>
      <c r="C77" s="172"/>
      <c r="D77" s="172"/>
      <c r="E77" s="172"/>
      <c r="F77" s="172"/>
      <c r="G77" s="172"/>
      <c r="H77" s="172"/>
      <c r="I77" s="172"/>
      <c r="J77" s="172"/>
      <c r="K77" s="193"/>
      <c r="L77" s="177"/>
      <c r="M77" s="179"/>
      <c r="N77" s="179"/>
      <c r="O77" s="177"/>
      <c r="P77" s="177"/>
    </row>
    <row r="78" spans="1:16" x14ac:dyDescent="0.25">
      <c r="A78" s="172"/>
      <c r="B78" s="172"/>
      <c r="C78" s="172"/>
      <c r="D78" s="172"/>
      <c r="E78" s="172"/>
      <c r="F78" s="172"/>
      <c r="G78" s="172"/>
      <c r="H78" s="172"/>
      <c r="I78" s="172"/>
      <c r="J78" s="172"/>
      <c r="K78" s="179"/>
      <c r="L78" s="177"/>
      <c r="M78" s="179"/>
      <c r="N78" s="179"/>
      <c r="O78" s="177"/>
      <c r="P78" s="177"/>
    </row>
    <row r="79" spans="1:16" ht="15.6" x14ac:dyDescent="0.3">
      <c r="A79" s="172"/>
      <c r="B79" s="172"/>
      <c r="C79" s="172"/>
      <c r="D79" s="172"/>
      <c r="E79" s="172"/>
      <c r="F79" s="172"/>
      <c r="G79" s="172"/>
      <c r="H79" s="172"/>
      <c r="I79" s="166"/>
      <c r="J79" s="166"/>
      <c r="K79" s="179"/>
      <c r="L79" s="187"/>
      <c r="M79" s="186"/>
      <c r="N79" s="186"/>
      <c r="O79" s="222">
        <f>M60+M69+M76</f>
        <v>0</v>
      </c>
      <c r="P79" s="177"/>
    </row>
    <row r="80" spans="1:16" x14ac:dyDescent="0.25">
      <c r="A80" s="145"/>
      <c r="B80" s="145"/>
      <c r="C80" s="145"/>
      <c r="D80" s="145"/>
      <c r="E80" s="145"/>
      <c r="F80" s="145"/>
      <c r="G80" s="145"/>
      <c r="H80" s="145"/>
      <c r="I80" s="150"/>
      <c r="J80" s="150"/>
      <c r="K80" s="150"/>
      <c r="L80" s="150"/>
      <c r="M80" s="150"/>
      <c r="N80" s="150"/>
      <c r="O80" s="151" t="s">
        <v>1111</v>
      </c>
      <c r="P80" s="145"/>
    </row>
    <row r="81" spans="1:16" x14ac:dyDescent="0.25">
      <c r="A81" s="165"/>
      <c r="B81" s="165"/>
      <c r="C81" s="165"/>
      <c r="D81" s="165"/>
      <c r="E81" s="165"/>
      <c r="F81" s="165"/>
      <c r="G81" s="165"/>
      <c r="H81" s="165"/>
      <c r="I81" s="165"/>
      <c r="J81" s="165"/>
      <c r="K81" s="165"/>
      <c r="L81" s="165"/>
      <c r="M81" s="165"/>
      <c r="N81" s="165"/>
      <c r="O81" s="165"/>
      <c r="P81" s="165"/>
    </row>
    <row r="82" spans="1:16" ht="15.75" customHeight="1" x14ac:dyDescent="0.45">
      <c r="A82" s="172"/>
      <c r="B82" s="173" t="s">
        <v>1121</v>
      </c>
      <c r="C82" s="173"/>
      <c r="D82" s="173"/>
      <c r="E82" s="173"/>
      <c r="F82" s="173"/>
      <c r="G82" s="173"/>
      <c r="H82" s="173"/>
      <c r="I82" s="173"/>
      <c r="J82" s="173"/>
      <c r="K82" s="173"/>
      <c r="L82" s="173"/>
      <c r="M82" s="173"/>
      <c r="N82" s="173"/>
      <c r="O82" s="173"/>
      <c r="P82" s="189"/>
    </row>
    <row r="83" spans="1:16" x14ac:dyDescent="0.25">
      <c r="A83" s="172"/>
      <c r="B83" s="172"/>
      <c r="C83" s="172"/>
      <c r="D83" s="166"/>
      <c r="E83" s="172"/>
      <c r="F83" s="172"/>
      <c r="G83" s="172"/>
      <c r="H83" s="172"/>
      <c r="I83" s="172"/>
      <c r="J83" s="172"/>
      <c r="K83" s="190" t="s">
        <v>1122</v>
      </c>
      <c r="L83" s="175"/>
      <c r="M83" s="175" t="s">
        <v>3</v>
      </c>
      <c r="N83" s="175"/>
      <c r="O83" s="175" t="s">
        <v>3</v>
      </c>
      <c r="P83" s="172"/>
    </row>
    <row r="84" spans="1:16" ht="15.6" x14ac:dyDescent="0.3">
      <c r="A84" s="172"/>
      <c r="B84" s="176" t="s">
        <v>1123</v>
      </c>
      <c r="C84" s="172"/>
      <c r="D84" s="172"/>
      <c r="E84" s="172"/>
      <c r="F84" s="172"/>
      <c r="G84" s="172"/>
      <c r="H84" s="172"/>
      <c r="I84" s="172"/>
      <c r="J84" s="172"/>
      <c r="K84" s="191" t="s">
        <v>1118</v>
      </c>
      <c r="L84" s="172"/>
      <c r="M84" s="172"/>
      <c r="N84" s="172"/>
      <c r="O84" s="172"/>
      <c r="P84" s="172"/>
    </row>
    <row r="85" spans="1:16" x14ac:dyDescent="0.25">
      <c r="A85" s="172"/>
      <c r="B85" s="156"/>
      <c r="C85" s="157"/>
      <c r="D85" s="157"/>
      <c r="E85" s="157"/>
      <c r="F85" s="157"/>
      <c r="G85" s="157"/>
      <c r="H85" s="157"/>
      <c r="I85" s="158"/>
      <c r="J85" s="172"/>
      <c r="K85" s="152"/>
      <c r="L85" s="177"/>
      <c r="M85" s="148"/>
      <c r="N85" s="192"/>
      <c r="O85" s="178"/>
      <c r="P85" s="172"/>
    </row>
    <row r="86" spans="1:16" x14ac:dyDescent="0.25">
      <c r="A86" s="172"/>
      <c r="B86" s="156"/>
      <c r="C86" s="157"/>
      <c r="D86" s="157"/>
      <c r="E86" s="157"/>
      <c r="F86" s="157"/>
      <c r="G86" s="157"/>
      <c r="H86" s="157"/>
      <c r="I86" s="158"/>
      <c r="J86" s="172"/>
      <c r="K86" s="152"/>
      <c r="L86" s="177"/>
      <c r="M86" s="148"/>
      <c r="N86" s="192"/>
      <c r="O86" s="178"/>
      <c r="P86" s="172"/>
    </row>
    <row r="87" spans="1:16" x14ac:dyDescent="0.25">
      <c r="A87" s="172"/>
      <c r="B87" s="156"/>
      <c r="C87" s="157"/>
      <c r="D87" s="157"/>
      <c r="E87" s="157"/>
      <c r="F87" s="157"/>
      <c r="G87" s="157"/>
      <c r="H87" s="157"/>
      <c r="I87" s="158"/>
      <c r="J87" s="172"/>
      <c r="K87" s="152"/>
      <c r="L87" s="177"/>
      <c r="M87" s="148"/>
      <c r="N87" s="192"/>
      <c r="O87" s="178"/>
      <c r="P87" s="172"/>
    </row>
    <row r="88" spans="1:16" x14ac:dyDescent="0.25">
      <c r="A88" s="172"/>
      <c r="B88" s="156"/>
      <c r="C88" s="157"/>
      <c r="D88" s="157"/>
      <c r="E88" s="157"/>
      <c r="F88" s="157"/>
      <c r="G88" s="157"/>
      <c r="H88" s="157"/>
      <c r="I88" s="158"/>
      <c r="J88" s="172"/>
      <c r="K88" s="152"/>
      <c r="L88" s="177"/>
      <c r="M88" s="148"/>
      <c r="N88" s="192"/>
      <c r="O88" s="178"/>
      <c r="P88" s="172"/>
    </row>
    <row r="89" spans="1:16" x14ac:dyDescent="0.25">
      <c r="A89" s="172"/>
      <c r="B89" s="156"/>
      <c r="C89" s="157"/>
      <c r="D89" s="157"/>
      <c r="E89" s="157"/>
      <c r="F89" s="157"/>
      <c r="G89" s="157"/>
      <c r="H89" s="157"/>
      <c r="I89" s="158"/>
      <c r="J89" s="172"/>
      <c r="K89" s="152"/>
      <c r="L89" s="177"/>
      <c r="M89" s="148"/>
      <c r="N89" s="192"/>
      <c r="O89" s="178"/>
      <c r="P89" s="172"/>
    </row>
    <row r="90" spans="1:16" x14ac:dyDescent="0.25">
      <c r="A90" s="172"/>
      <c r="B90" s="153"/>
      <c r="C90" s="153"/>
      <c r="D90" s="153"/>
      <c r="E90" s="153"/>
      <c r="F90" s="153"/>
      <c r="G90" s="153"/>
      <c r="H90" s="153"/>
      <c r="I90" s="153"/>
      <c r="J90" s="172"/>
      <c r="K90" s="194"/>
      <c r="L90" s="194"/>
      <c r="M90" s="194"/>
      <c r="N90" s="177"/>
      <c r="O90" s="177"/>
      <c r="P90" s="172"/>
    </row>
    <row r="91" spans="1:16" x14ac:dyDescent="0.25">
      <c r="A91" s="172"/>
      <c r="B91" s="172"/>
      <c r="C91" s="172"/>
      <c r="D91" s="172"/>
      <c r="E91" s="172"/>
      <c r="F91" s="172"/>
      <c r="G91" s="172"/>
      <c r="H91" s="172"/>
      <c r="I91" s="172"/>
      <c r="J91" s="172"/>
      <c r="K91" s="194"/>
      <c r="L91" s="177"/>
      <c r="M91" s="149">
        <f>SUM(M85:M89)</f>
        <v>0</v>
      </c>
      <c r="N91" s="177"/>
      <c r="O91" s="177"/>
      <c r="P91" s="172"/>
    </row>
    <row r="92" spans="1:16" x14ac:dyDescent="0.25">
      <c r="A92" s="172"/>
      <c r="B92" s="172"/>
      <c r="C92" s="172"/>
      <c r="D92" s="172"/>
      <c r="E92" s="172"/>
      <c r="F92" s="172"/>
      <c r="G92" s="172"/>
      <c r="H92" s="172"/>
      <c r="I92" s="172"/>
      <c r="J92" s="172"/>
      <c r="K92" s="194"/>
      <c r="L92" s="177"/>
      <c r="M92" s="177"/>
      <c r="N92" s="177"/>
      <c r="O92" s="177"/>
      <c r="P92" s="180"/>
    </row>
    <row r="93" spans="1:16" ht="15.6" x14ac:dyDescent="0.3">
      <c r="A93" s="172"/>
      <c r="B93" s="176" t="s">
        <v>1124</v>
      </c>
      <c r="C93" s="166"/>
      <c r="D93" s="166"/>
      <c r="E93" s="172"/>
      <c r="F93" s="172"/>
      <c r="G93" s="172"/>
      <c r="H93" s="172"/>
      <c r="I93" s="172"/>
      <c r="J93" s="172"/>
      <c r="K93" s="194"/>
      <c r="L93" s="177"/>
      <c r="M93" s="177"/>
      <c r="N93" s="177"/>
      <c r="O93" s="177"/>
      <c r="P93" s="172"/>
    </row>
    <row r="94" spans="1:16" x14ac:dyDescent="0.25">
      <c r="A94" s="172"/>
      <c r="B94" s="159"/>
      <c r="C94" s="160"/>
      <c r="D94" s="160"/>
      <c r="E94" s="160"/>
      <c r="F94" s="160"/>
      <c r="G94" s="160"/>
      <c r="H94" s="160"/>
      <c r="I94" s="161"/>
      <c r="J94" s="195"/>
      <c r="K94" s="152"/>
      <c r="L94" s="177"/>
      <c r="M94" s="148"/>
      <c r="N94" s="179"/>
      <c r="O94" s="178"/>
      <c r="P94" s="172"/>
    </row>
    <row r="95" spans="1:16" x14ac:dyDescent="0.25">
      <c r="A95" s="172"/>
      <c r="B95" s="172"/>
      <c r="C95" s="166"/>
      <c r="D95" s="166"/>
      <c r="E95" s="172"/>
      <c r="F95" s="172"/>
      <c r="G95" s="172"/>
      <c r="H95" s="172"/>
      <c r="I95" s="172"/>
      <c r="J95" s="172"/>
      <c r="K95" s="177"/>
      <c r="L95" s="177"/>
      <c r="M95" s="177"/>
      <c r="N95" s="177"/>
      <c r="O95" s="177"/>
      <c r="P95" s="172"/>
    </row>
    <row r="96" spans="1:16" ht="15.6" x14ac:dyDescent="0.3">
      <c r="A96" s="172"/>
      <c r="B96" s="172"/>
      <c r="C96" s="166"/>
      <c r="D96" s="166"/>
      <c r="E96" s="172"/>
      <c r="F96" s="172"/>
      <c r="G96" s="172"/>
      <c r="H96" s="172"/>
      <c r="I96" s="166"/>
      <c r="J96" s="166"/>
      <c r="K96" s="179"/>
      <c r="L96" s="177"/>
      <c r="M96" s="177"/>
      <c r="N96" s="177"/>
      <c r="O96" s="222">
        <f>+M91+M94</f>
        <v>0</v>
      </c>
      <c r="P96" s="172"/>
    </row>
    <row r="97" spans="1:16" x14ac:dyDescent="0.25">
      <c r="A97" s="172"/>
      <c r="B97" s="172"/>
      <c r="C97" s="166"/>
      <c r="D97" s="172"/>
      <c r="E97" s="172"/>
      <c r="F97" s="172"/>
      <c r="G97" s="172"/>
      <c r="H97" s="172"/>
      <c r="I97" s="181"/>
      <c r="J97" s="181"/>
      <c r="K97" s="182"/>
      <c r="L97" s="181"/>
      <c r="M97" s="182"/>
      <c r="N97" s="182"/>
      <c r="O97" s="175" t="s">
        <v>1111</v>
      </c>
      <c r="P97" s="172"/>
    </row>
    <row r="98" spans="1:16" ht="18.600000000000001" x14ac:dyDescent="0.45">
      <c r="A98" s="172"/>
      <c r="B98" s="183" t="s">
        <v>1125</v>
      </c>
      <c r="C98" s="166"/>
      <c r="D98" s="172"/>
      <c r="E98" s="172"/>
      <c r="F98" s="172"/>
      <c r="G98" s="172"/>
      <c r="H98" s="172"/>
      <c r="I98" s="181"/>
      <c r="J98" s="181"/>
      <c r="K98" s="182"/>
      <c r="L98" s="181"/>
      <c r="M98" s="182"/>
      <c r="N98" s="182"/>
      <c r="O98" s="182"/>
      <c r="P98" s="172"/>
    </row>
    <row r="99" spans="1:16" x14ac:dyDescent="0.25">
      <c r="A99" s="172"/>
      <c r="B99" s="172"/>
      <c r="C99" s="166"/>
      <c r="D99" s="172"/>
      <c r="E99" s="172"/>
      <c r="F99" s="172"/>
      <c r="G99" s="172"/>
      <c r="H99" s="172"/>
      <c r="I99" s="181"/>
      <c r="J99" s="181"/>
      <c r="K99" s="182"/>
      <c r="L99" s="181"/>
      <c r="M99" s="182"/>
      <c r="N99" s="182"/>
      <c r="O99" s="182"/>
      <c r="P99" s="172"/>
    </row>
    <row r="100" spans="1:16" ht="15.6" x14ac:dyDescent="0.3">
      <c r="A100" s="172"/>
      <c r="B100" s="176" t="s">
        <v>1126</v>
      </c>
      <c r="C100" s="166"/>
      <c r="D100" s="172"/>
      <c r="E100" s="172"/>
      <c r="F100" s="172"/>
      <c r="G100" s="172"/>
      <c r="H100" s="172"/>
      <c r="I100" s="181"/>
      <c r="J100" s="181"/>
      <c r="K100" s="181"/>
      <c r="L100" s="181"/>
      <c r="M100" s="177"/>
      <c r="N100" s="177"/>
      <c r="O100" s="177"/>
      <c r="P100" s="172"/>
    </row>
    <row r="101" spans="1:16" x14ac:dyDescent="0.25">
      <c r="A101" s="172"/>
      <c r="B101" s="159"/>
      <c r="C101" s="160"/>
      <c r="D101" s="160"/>
      <c r="E101" s="160"/>
      <c r="F101" s="160"/>
      <c r="G101" s="160"/>
      <c r="H101" s="160"/>
      <c r="I101" s="161"/>
      <c r="J101" s="181"/>
      <c r="K101" s="181"/>
      <c r="L101" s="181"/>
      <c r="M101" s="148"/>
      <c r="N101" s="177"/>
      <c r="O101" s="178"/>
      <c r="P101" s="172"/>
    </row>
    <row r="102" spans="1:16" x14ac:dyDescent="0.25">
      <c r="A102" s="172"/>
      <c r="B102" s="162"/>
      <c r="C102" s="163"/>
      <c r="D102" s="163"/>
      <c r="E102" s="163"/>
      <c r="F102" s="163"/>
      <c r="G102" s="163"/>
      <c r="H102" s="163"/>
      <c r="I102" s="164"/>
      <c r="J102" s="181"/>
      <c r="K102" s="181"/>
      <c r="L102" s="181"/>
      <c r="M102" s="154"/>
      <c r="N102" s="177"/>
      <c r="O102" s="177"/>
      <c r="P102" s="172"/>
    </row>
    <row r="103" spans="1:16" x14ac:dyDescent="0.25">
      <c r="A103" s="172"/>
      <c r="B103" s="162"/>
      <c r="C103" s="163"/>
      <c r="D103" s="163"/>
      <c r="E103" s="163"/>
      <c r="F103" s="163"/>
      <c r="G103" s="163"/>
      <c r="H103" s="163"/>
      <c r="I103" s="164"/>
      <c r="J103" s="181"/>
      <c r="K103" s="181"/>
      <c r="L103" s="181"/>
      <c r="M103" s="154"/>
      <c r="N103" s="177"/>
      <c r="O103" s="177"/>
      <c r="P103" s="172"/>
    </row>
    <row r="104" spans="1:16" x14ac:dyDescent="0.25">
      <c r="A104" s="172"/>
      <c r="B104" s="172"/>
      <c r="C104" s="166"/>
      <c r="D104" s="172"/>
      <c r="E104" s="172"/>
      <c r="F104" s="172"/>
      <c r="G104" s="172"/>
      <c r="H104" s="172"/>
      <c r="I104" s="181"/>
      <c r="J104" s="181"/>
      <c r="K104" s="181"/>
      <c r="L104" s="181"/>
      <c r="M104" s="181"/>
      <c r="N104" s="177"/>
      <c r="O104" s="177"/>
      <c r="P104" s="172"/>
    </row>
    <row r="105" spans="1:16" x14ac:dyDescent="0.25">
      <c r="A105" s="172"/>
      <c r="B105" s="172"/>
      <c r="C105" s="166"/>
      <c r="D105" s="166"/>
      <c r="E105" s="172"/>
      <c r="F105" s="172"/>
      <c r="G105" s="172"/>
      <c r="H105" s="172"/>
      <c r="I105" s="181"/>
      <c r="J105" s="181"/>
      <c r="K105" s="181"/>
      <c r="L105" s="181"/>
      <c r="M105" s="149">
        <f>SUM(M101:M103)</f>
        <v>0</v>
      </c>
      <c r="N105" s="181"/>
      <c r="O105" s="181"/>
      <c r="P105" s="172"/>
    </row>
    <row r="106" spans="1:16" x14ac:dyDescent="0.25">
      <c r="A106" s="172"/>
      <c r="B106" s="172"/>
      <c r="C106" s="166"/>
      <c r="D106" s="166"/>
      <c r="E106" s="172"/>
      <c r="F106" s="172"/>
      <c r="G106" s="172"/>
      <c r="H106" s="172"/>
      <c r="I106" s="181"/>
      <c r="J106" s="181"/>
      <c r="K106" s="181"/>
      <c r="L106" s="181"/>
      <c r="M106" s="181"/>
      <c r="N106" s="181"/>
      <c r="O106" s="181"/>
      <c r="P106" s="172"/>
    </row>
    <row r="107" spans="1:16" ht="15.6" x14ac:dyDescent="0.3">
      <c r="A107" s="172"/>
      <c r="B107" s="176" t="s">
        <v>1127</v>
      </c>
      <c r="C107" s="166"/>
      <c r="D107" s="172"/>
      <c r="E107" s="172"/>
      <c r="F107" s="172"/>
      <c r="G107" s="172"/>
      <c r="H107" s="172"/>
      <c r="I107" s="181"/>
      <c r="J107" s="181"/>
      <c r="K107" s="181"/>
      <c r="L107" s="181"/>
      <c r="M107" s="181"/>
      <c r="N107" s="181"/>
      <c r="O107" s="181"/>
      <c r="P107" s="172"/>
    </row>
    <row r="108" spans="1:16" x14ac:dyDescent="0.25">
      <c r="A108" s="172"/>
      <c r="B108" s="159"/>
      <c r="C108" s="160"/>
      <c r="D108" s="160"/>
      <c r="E108" s="160"/>
      <c r="F108" s="160"/>
      <c r="G108" s="160"/>
      <c r="H108" s="160"/>
      <c r="I108" s="161"/>
      <c r="J108" s="175"/>
      <c r="K108" s="181"/>
      <c r="L108" s="184"/>
      <c r="M108" s="148"/>
      <c r="N108" s="184"/>
      <c r="O108" s="178"/>
      <c r="P108" s="166"/>
    </row>
    <row r="109" spans="1:16" x14ac:dyDescent="0.25">
      <c r="A109" s="172"/>
      <c r="B109" s="162"/>
      <c r="C109" s="163"/>
      <c r="D109" s="163"/>
      <c r="E109" s="163"/>
      <c r="F109" s="163"/>
      <c r="G109" s="163"/>
      <c r="H109" s="163"/>
      <c r="I109" s="164"/>
      <c r="J109" s="181"/>
      <c r="K109" s="181"/>
      <c r="L109" s="181"/>
      <c r="M109" s="154"/>
      <c r="N109" s="181"/>
      <c r="O109" s="181"/>
      <c r="P109" s="172"/>
    </row>
    <row r="110" spans="1:16" x14ac:dyDescent="0.25">
      <c r="A110" s="172"/>
      <c r="B110" s="172"/>
      <c r="C110" s="172"/>
      <c r="D110" s="172"/>
      <c r="E110" s="172"/>
      <c r="F110" s="172"/>
      <c r="G110" s="172"/>
      <c r="H110" s="172"/>
      <c r="I110" s="182"/>
      <c r="J110" s="182"/>
      <c r="K110" s="181"/>
      <c r="L110" s="179"/>
      <c r="M110" s="177"/>
      <c r="N110" s="179"/>
      <c r="O110" s="179"/>
      <c r="P110" s="172"/>
    </row>
    <row r="111" spans="1:16" x14ac:dyDescent="0.25">
      <c r="A111" s="172"/>
      <c r="B111" s="172"/>
      <c r="C111" s="172"/>
      <c r="D111" s="172"/>
      <c r="E111" s="172"/>
      <c r="F111" s="172"/>
      <c r="G111" s="172"/>
      <c r="H111" s="172"/>
      <c r="I111" s="166"/>
      <c r="J111" s="166"/>
      <c r="K111" s="181"/>
      <c r="L111" s="179"/>
      <c r="M111" s="149">
        <f>SUM(M108:M109)</f>
        <v>0</v>
      </c>
      <c r="N111" s="179"/>
      <c r="O111" s="179"/>
      <c r="P111" s="172"/>
    </row>
    <row r="112" spans="1:16" x14ac:dyDescent="0.25">
      <c r="A112" s="172"/>
      <c r="B112" s="172"/>
      <c r="C112" s="172"/>
      <c r="D112" s="172"/>
      <c r="E112" s="172"/>
      <c r="F112" s="172"/>
      <c r="G112" s="172"/>
      <c r="H112" s="172"/>
      <c r="I112" s="182"/>
      <c r="J112" s="182"/>
      <c r="K112" s="181"/>
      <c r="L112" s="179"/>
      <c r="M112" s="179"/>
      <c r="N112" s="179"/>
      <c r="O112" s="179"/>
      <c r="P112" s="172"/>
    </row>
    <row r="113" spans="1:16" ht="15.6" x14ac:dyDescent="0.3">
      <c r="A113" s="165"/>
      <c r="B113" s="165"/>
      <c r="C113" s="165"/>
      <c r="D113" s="185"/>
      <c r="E113" s="185"/>
      <c r="F113" s="185"/>
      <c r="G113" s="185"/>
      <c r="H113" s="185"/>
      <c r="I113" s="175"/>
      <c r="J113" s="166"/>
      <c r="K113" s="186"/>
      <c r="L113" s="187"/>
      <c r="M113" s="186"/>
      <c r="N113" s="179"/>
      <c r="O113" s="222">
        <f>+M105+M111</f>
        <v>0</v>
      </c>
      <c r="P113" s="165"/>
    </row>
    <row r="114" spans="1:16" ht="15" x14ac:dyDescent="0.25">
      <c r="A114" s="165"/>
      <c r="B114" s="165"/>
      <c r="C114" s="165"/>
      <c r="D114" s="185"/>
      <c r="E114" s="185"/>
      <c r="F114" s="185"/>
      <c r="G114" s="185"/>
      <c r="H114" s="185"/>
      <c r="I114" s="166"/>
      <c r="J114" s="166"/>
      <c r="K114" s="186"/>
      <c r="L114" s="186"/>
      <c r="M114" s="186"/>
      <c r="N114" s="186"/>
      <c r="O114" s="175" t="s">
        <v>1111</v>
      </c>
      <c r="P114" s="165"/>
    </row>
    <row r="115" spans="1:16" ht="18.600000000000001" x14ac:dyDescent="0.45">
      <c r="A115" s="165"/>
      <c r="B115" s="183" t="s">
        <v>1128</v>
      </c>
      <c r="C115" s="165"/>
      <c r="D115" s="185"/>
      <c r="E115" s="185"/>
      <c r="F115" s="185"/>
      <c r="G115" s="185"/>
      <c r="H115" s="185"/>
      <c r="I115" s="166"/>
      <c r="J115" s="166"/>
      <c r="K115" s="186"/>
      <c r="L115" s="187"/>
      <c r="M115" s="186"/>
      <c r="N115" s="186"/>
      <c r="O115" s="179"/>
      <c r="P115" s="165"/>
    </row>
    <row r="116" spans="1:16" ht="15.6" x14ac:dyDescent="0.3">
      <c r="A116" s="165"/>
      <c r="B116" s="165"/>
      <c r="C116" s="165"/>
      <c r="D116" s="185"/>
      <c r="E116" s="185"/>
      <c r="F116" s="185"/>
      <c r="G116" s="185"/>
      <c r="H116" s="185"/>
      <c r="I116" s="166"/>
      <c r="J116" s="166"/>
      <c r="K116" s="186"/>
      <c r="L116" s="187"/>
      <c r="M116" s="186"/>
      <c r="N116" s="186"/>
      <c r="O116" s="179"/>
      <c r="P116" s="165"/>
    </row>
    <row r="117" spans="1:16" ht="15.6" x14ac:dyDescent="0.3">
      <c r="A117" s="165"/>
      <c r="B117" s="159"/>
      <c r="C117" s="160"/>
      <c r="D117" s="160"/>
      <c r="E117" s="160"/>
      <c r="F117" s="160"/>
      <c r="G117" s="160"/>
      <c r="H117" s="160"/>
      <c r="I117" s="161"/>
      <c r="J117" s="166"/>
      <c r="K117" s="186"/>
      <c r="L117" s="187"/>
      <c r="M117" s="148"/>
      <c r="N117" s="186"/>
      <c r="O117" s="178"/>
      <c r="P117" s="165"/>
    </row>
    <row r="118" spans="1:16" ht="15.6" x14ac:dyDescent="0.3">
      <c r="A118" s="165"/>
      <c r="B118" s="165"/>
      <c r="C118" s="165"/>
      <c r="D118" s="185"/>
      <c r="E118" s="185"/>
      <c r="F118" s="185"/>
      <c r="G118" s="185"/>
      <c r="H118" s="185"/>
      <c r="I118" s="166"/>
      <c r="J118" s="166"/>
      <c r="K118" s="186"/>
      <c r="L118" s="187"/>
      <c r="M118" s="186"/>
      <c r="N118" s="186"/>
      <c r="O118" s="179"/>
      <c r="P118" s="165"/>
    </row>
    <row r="119" spans="1:16" ht="15.6" x14ac:dyDescent="0.3">
      <c r="A119" s="165"/>
      <c r="B119" s="165"/>
      <c r="C119" s="165"/>
      <c r="D119" s="185"/>
      <c r="E119" s="185"/>
      <c r="F119" s="185"/>
      <c r="G119" s="185"/>
      <c r="H119" s="185"/>
      <c r="I119" s="166"/>
      <c r="J119" s="166"/>
      <c r="K119" s="186"/>
      <c r="L119" s="187"/>
      <c r="M119" s="186"/>
      <c r="N119" s="186"/>
      <c r="O119" s="222">
        <f>+M117</f>
        <v>0</v>
      </c>
      <c r="P119" s="165"/>
    </row>
    <row r="120" spans="1:16" ht="15.6" x14ac:dyDescent="0.3">
      <c r="A120" s="165"/>
      <c r="B120" s="165"/>
      <c r="C120" s="165"/>
      <c r="D120" s="185"/>
      <c r="E120" s="185"/>
      <c r="F120" s="185"/>
      <c r="G120" s="185"/>
      <c r="H120" s="185"/>
      <c r="I120" s="166"/>
      <c r="J120" s="166"/>
      <c r="K120" s="186"/>
      <c r="L120" s="187"/>
      <c r="M120" s="186"/>
      <c r="N120" s="186"/>
      <c r="O120" s="186"/>
      <c r="P120" s="165"/>
    </row>
    <row r="121" spans="1:16" ht="18.600000000000001" x14ac:dyDescent="0.45">
      <c r="A121" s="165"/>
      <c r="B121" s="183" t="s">
        <v>1203</v>
      </c>
      <c r="C121" s="165"/>
      <c r="D121" s="185"/>
      <c r="E121" s="185"/>
      <c r="F121" s="185"/>
      <c r="G121" s="185"/>
      <c r="H121" s="185"/>
      <c r="I121" s="166"/>
      <c r="J121" s="166"/>
      <c r="K121" s="186"/>
      <c r="L121" s="187"/>
      <c r="M121" s="186"/>
      <c r="N121" s="186"/>
      <c r="O121" s="179"/>
      <c r="P121" s="165"/>
    </row>
    <row r="122" spans="1:16" ht="15.6" x14ac:dyDescent="0.3">
      <c r="A122" s="165"/>
      <c r="B122" s="165"/>
      <c r="C122" s="165"/>
      <c r="D122" s="185"/>
      <c r="E122" s="185"/>
      <c r="F122" s="185"/>
      <c r="G122" s="185"/>
      <c r="H122" s="185"/>
      <c r="I122" s="166"/>
      <c r="J122" s="166"/>
      <c r="K122" s="186"/>
      <c r="L122" s="187"/>
      <c r="M122" s="186"/>
      <c r="N122" s="186"/>
      <c r="O122" s="179"/>
      <c r="P122" s="165"/>
    </row>
    <row r="123" spans="1:16" ht="15.6" x14ac:dyDescent="0.3">
      <c r="A123" s="165"/>
      <c r="B123" s="159"/>
      <c r="C123" s="160"/>
      <c r="D123" s="160"/>
      <c r="E123" s="160"/>
      <c r="F123" s="160"/>
      <c r="G123" s="160"/>
      <c r="H123" s="160"/>
      <c r="I123" s="161"/>
      <c r="J123" s="166"/>
      <c r="K123" s="186"/>
      <c r="L123" s="187"/>
      <c r="M123" s="148"/>
      <c r="N123" s="186"/>
      <c r="O123" s="178"/>
      <c r="P123" s="165"/>
    </row>
    <row r="124" spans="1:16" ht="15.6" x14ac:dyDescent="0.3">
      <c r="A124" s="165"/>
      <c r="B124" s="165"/>
      <c r="C124" s="165"/>
      <c r="D124" s="185"/>
      <c r="E124" s="185"/>
      <c r="F124" s="185"/>
      <c r="G124" s="185"/>
      <c r="H124" s="185"/>
      <c r="I124" s="166"/>
      <c r="J124" s="166"/>
      <c r="K124" s="186"/>
      <c r="L124" s="187"/>
      <c r="M124" s="186"/>
      <c r="N124" s="186"/>
      <c r="O124" s="179"/>
      <c r="P124" s="165"/>
    </row>
    <row r="125" spans="1:16" ht="15.6" x14ac:dyDescent="0.3">
      <c r="A125" s="165"/>
      <c r="B125" s="165"/>
      <c r="C125" s="165"/>
      <c r="D125" s="185"/>
      <c r="E125" s="185"/>
      <c r="F125" s="185"/>
      <c r="G125" s="185"/>
      <c r="H125" s="185"/>
      <c r="I125" s="166"/>
      <c r="J125" s="166"/>
      <c r="K125" s="186"/>
      <c r="L125" s="187"/>
      <c r="M125" s="186"/>
      <c r="N125" s="186"/>
      <c r="O125" s="222">
        <f>+M123</f>
        <v>0</v>
      </c>
      <c r="P125" s="165"/>
    </row>
    <row r="126" spans="1:16" x14ac:dyDescent="0.25">
      <c r="A126" s="145"/>
      <c r="B126" s="145"/>
      <c r="C126" s="145"/>
      <c r="D126" s="145"/>
      <c r="E126" s="145"/>
      <c r="F126" s="145"/>
      <c r="G126" s="145"/>
      <c r="H126" s="145"/>
      <c r="I126" s="150"/>
      <c r="J126" s="150"/>
      <c r="K126" s="150"/>
      <c r="L126" s="150"/>
      <c r="M126" s="150"/>
      <c r="N126" s="150"/>
      <c r="O126" s="155" t="s">
        <v>1111</v>
      </c>
      <c r="P126" s="145"/>
    </row>
    <row r="127" spans="1:16" x14ac:dyDescent="0.25">
      <c r="A127" s="146"/>
      <c r="B127" s="146"/>
      <c r="C127" s="146"/>
      <c r="D127" s="146"/>
      <c r="E127" s="146"/>
      <c r="F127" s="146"/>
      <c r="G127" s="146"/>
      <c r="H127" s="146"/>
      <c r="I127" s="146"/>
      <c r="J127" s="146"/>
      <c r="K127" s="146"/>
      <c r="L127" s="146"/>
      <c r="M127" s="146"/>
      <c r="N127" s="146"/>
      <c r="O127" s="146"/>
      <c r="P127" s="146"/>
    </row>
    <row r="128" spans="1:16" ht="21" x14ac:dyDescent="0.4">
      <c r="A128" s="165"/>
      <c r="B128" s="208" t="s">
        <v>1204</v>
      </c>
      <c r="C128" s="209"/>
      <c r="D128" s="209"/>
      <c r="E128" s="209"/>
      <c r="F128" s="209"/>
      <c r="G128" s="209"/>
      <c r="H128" s="209"/>
      <c r="I128" s="209"/>
      <c r="J128" s="209"/>
      <c r="K128" s="209"/>
      <c r="L128" s="209"/>
      <c r="M128" s="209"/>
      <c r="N128" s="209"/>
      <c r="O128" s="210"/>
      <c r="P128" s="165"/>
    </row>
    <row r="129" spans="1:16" x14ac:dyDescent="0.25">
      <c r="A129" s="165"/>
      <c r="B129" s="165"/>
      <c r="C129" s="165"/>
      <c r="D129" s="165"/>
      <c r="E129" s="165"/>
      <c r="F129" s="165"/>
      <c r="G129" s="165"/>
      <c r="H129" s="165"/>
      <c r="I129" s="165"/>
      <c r="J129" s="165"/>
      <c r="K129" s="165"/>
      <c r="L129" s="165"/>
      <c r="M129" s="165"/>
      <c r="N129" s="165"/>
      <c r="O129" s="165"/>
      <c r="P129" s="165"/>
    </row>
    <row r="130" spans="1:16" ht="18.600000000000001" x14ac:dyDescent="0.45">
      <c r="A130" s="165"/>
      <c r="B130" s="166" t="s">
        <v>0</v>
      </c>
      <c r="C130" s="167"/>
      <c r="D130" s="168">
        <f>C6</f>
        <v>0</v>
      </c>
      <c r="E130" s="165"/>
      <c r="F130" s="165"/>
      <c r="G130" s="165"/>
      <c r="H130" s="165"/>
      <c r="I130" s="165"/>
      <c r="J130" s="165"/>
      <c r="K130" s="165"/>
      <c r="L130" s="165"/>
      <c r="M130" s="165"/>
      <c r="N130" s="165"/>
      <c r="O130" s="165"/>
      <c r="P130" s="165"/>
    </row>
    <row r="131" spans="1:16" ht="18.600000000000001" x14ac:dyDescent="0.45">
      <c r="A131" s="165"/>
      <c r="B131" s="166" t="s">
        <v>1</v>
      </c>
      <c r="C131" s="169"/>
      <c r="D131" s="170">
        <f>C7</f>
        <v>0</v>
      </c>
      <c r="E131" s="165"/>
      <c r="F131" s="165"/>
      <c r="G131" s="165"/>
      <c r="H131" s="165"/>
      <c r="I131" s="165"/>
      <c r="J131" s="165"/>
      <c r="K131" s="165"/>
      <c r="L131" s="165"/>
      <c r="M131" s="165"/>
      <c r="N131" s="165"/>
      <c r="O131" s="165"/>
      <c r="P131" s="165"/>
    </row>
    <row r="132" spans="1:16" ht="18.600000000000001" x14ac:dyDescent="0.45">
      <c r="A132" s="165"/>
      <c r="B132" s="166" t="s">
        <v>2</v>
      </c>
      <c r="C132" s="167"/>
      <c r="D132" s="168">
        <f>C8</f>
        <v>0</v>
      </c>
      <c r="E132" s="165"/>
      <c r="F132" s="165"/>
      <c r="G132" s="165"/>
      <c r="H132" s="165"/>
      <c r="I132" s="165"/>
      <c r="J132" s="165"/>
      <c r="K132" s="165"/>
      <c r="L132" s="165"/>
      <c r="M132" s="165"/>
      <c r="N132" s="165"/>
      <c r="O132" s="165"/>
      <c r="P132" s="165"/>
    </row>
    <row r="133" spans="1:16" x14ac:dyDescent="0.25">
      <c r="A133" s="165"/>
      <c r="B133" s="165"/>
      <c r="C133" s="165"/>
      <c r="D133" s="165"/>
      <c r="E133" s="165"/>
      <c r="F133" s="165"/>
      <c r="G133" s="165"/>
      <c r="H133" s="165"/>
      <c r="I133" s="165"/>
      <c r="J133" s="165"/>
      <c r="K133" s="165"/>
      <c r="L133" s="165"/>
      <c r="M133" s="165"/>
      <c r="N133" s="165"/>
      <c r="O133" s="165"/>
      <c r="P133" s="165"/>
    </row>
    <row r="134" spans="1:16" ht="21.75" customHeight="1" x14ac:dyDescent="0.6">
      <c r="A134" s="172"/>
      <c r="B134" s="196" t="s">
        <v>1129</v>
      </c>
      <c r="C134" s="196"/>
      <c r="D134" s="196"/>
      <c r="E134" s="196"/>
      <c r="F134" s="196"/>
      <c r="G134" s="196"/>
      <c r="H134" s="165"/>
      <c r="I134" s="165"/>
      <c r="J134" s="165"/>
      <c r="K134" s="197"/>
      <c r="L134" s="165"/>
      <c r="M134" s="197" t="s">
        <v>3</v>
      </c>
      <c r="N134" s="165"/>
      <c r="O134" s="197" t="s">
        <v>3</v>
      </c>
      <c r="P134" s="189"/>
    </row>
    <row r="135" spans="1:16" x14ac:dyDescent="0.25">
      <c r="A135" s="172"/>
      <c r="B135" s="198"/>
      <c r="C135" s="172"/>
      <c r="D135" s="166"/>
      <c r="E135" s="172"/>
      <c r="F135" s="172"/>
      <c r="G135" s="172"/>
      <c r="H135" s="172"/>
      <c r="I135" s="172"/>
      <c r="J135" s="172"/>
      <c r="K135" s="190"/>
      <c r="L135" s="175"/>
      <c r="M135" s="190"/>
      <c r="N135" s="175"/>
      <c r="O135" s="175"/>
      <c r="P135" s="172"/>
    </row>
    <row r="136" spans="1:16" ht="24.6" x14ac:dyDescent="0.4">
      <c r="A136" s="172"/>
      <c r="B136" s="211" t="s">
        <v>1106</v>
      </c>
      <c r="C136" s="212"/>
      <c r="D136" s="213" t="s">
        <v>1130</v>
      </c>
      <c r="E136" s="214"/>
      <c r="F136" s="214"/>
      <c r="G136" s="214"/>
      <c r="H136" s="214"/>
      <c r="I136" s="214"/>
      <c r="J136" s="214"/>
      <c r="K136" s="223"/>
      <c r="L136" s="224"/>
      <c r="M136" s="223"/>
      <c r="N136" s="223"/>
      <c r="O136" s="225">
        <f>M10</f>
        <v>0</v>
      </c>
      <c r="P136" s="172"/>
    </row>
    <row r="137" spans="1:16" x14ac:dyDescent="0.25">
      <c r="A137" s="172"/>
      <c r="B137" s="172"/>
      <c r="C137" s="172"/>
      <c r="D137" s="166"/>
      <c r="E137" s="172"/>
      <c r="F137" s="172"/>
      <c r="G137" s="172"/>
      <c r="H137" s="172"/>
      <c r="I137" s="172"/>
      <c r="J137" s="172"/>
      <c r="K137" s="190"/>
      <c r="L137" s="175"/>
      <c r="M137" s="190"/>
      <c r="N137" s="175"/>
      <c r="O137" s="175"/>
      <c r="P137" s="172"/>
    </row>
    <row r="138" spans="1:16" ht="15.75" customHeight="1" x14ac:dyDescent="0.3">
      <c r="A138" s="185"/>
      <c r="B138" s="199" t="s">
        <v>1110</v>
      </c>
      <c r="C138" s="199"/>
      <c r="D138" s="199"/>
      <c r="E138" s="199"/>
      <c r="F138" s="199"/>
      <c r="G138" s="199"/>
      <c r="H138" s="199"/>
      <c r="I138" s="199"/>
      <c r="J138" s="200"/>
      <c r="K138" s="201"/>
      <c r="L138" s="202"/>
      <c r="M138" s="201">
        <f>+O28</f>
        <v>0</v>
      </c>
      <c r="N138" s="202"/>
      <c r="O138" s="202"/>
      <c r="P138" s="185"/>
    </row>
    <row r="139" spans="1:16" ht="15.6" x14ac:dyDescent="0.3">
      <c r="A139" s="185"/>
      <c r="B139" s="199"/>
      <c r="C139" s="199"/>
      <c r="D139" s="199"/>
      <c r="E139" s="199"/>
      <c r="F139" s="199"/>
      <c r="G139" s="199"/>
      <c r="H139" s="199"/>
      <c r="I139" s="199"/>
      <c r="J139" s="199"/>
      <c r="K139" s="202"/>
      <c r="L139" s="202"/>
      <c r="M139" s="202"/>
      <c r="N139" s="202"/>
      <c r="O139" s="202"/>
      <c r="P139" s="185"/>
    </row>
    <row r="140" spans="1:16" ht="15.75" customHeight="1" x14ac:dyDescent="0.3">
      <c r="A140" s="185"/>
      <c r="B140" s="199" t="s">
        <v>1131</v>
      </c>
      <c r="C140" s="199"/>
      <c r="D140" s="199"/>
      <c r="E140" s="199"/>
      <c r="F140" s="199"/>
      <c r="G140" s="199"/>
      <c r="H140" s="199"/>
      <c r="I140" s="199"/>
      <c r="J140" s="199"/>
      <c r="K140" s="203"/>
      <c r="L140" s="204"/>
      <c r="M140" s="203">
        <f>+O48</f>
        <v>0</v>
      </c>
      <c r="N140" s="204"/>
      <c r="O140" s="204"/>
      <c r="P140" s="185"/>
    </row>
    <row r="141" spans="1:16" ht="15.6" x14ac:dyDescent="0.3">
      <c r="A141" s="185"/>
      <c r="B141" s="199"/>
      <c r="C141" s="199"/>
      <c r="D141" s="199"/>
      <c r="E141" s="199"/>
      <c r="F141" s="199"/>
      <c r="G141" s="199"/>
      <c r="H141" s="199"/>
      <c r="I141" s="199"/>
      <c r="J141" s="199"/>
      <c r="K141" s="205"/>
      <c r="L141" s="204"/>
      <c r="M141" s="205"/>
      <c r="N141" s="204"/>
      <c r="O141" s="204"/>
      <c r="P141" s="185"/>
    </row>
    <row r="142" spans="1:16" ht="15.75" customHeight="1" x14ac:dyDescent="0.3">
      <c r="A142" s="185"/>
      <c r="B142" s="199" t="s">
        <v>1115</v>
      </c>
      <c r="C142" s="199"/>
      <c r="D142" s="199"/>
      <c r="E142" s="199"/>
      <c r="F142" s="199"/>
      <c r="G142" s="199"/>
      <c r="H142" s="199"/>
      <c r="I142" s="199"/>
      <c r="J142" s="199"/>
      <c r="K142" s="203"/>
      <c r="L142" s="204"/>
      <c r="M142" s="203">
        <f>+O79</f>
        <v>0</v>
      </c>
      <c r="N142" s="204"/>
      <c r="O142" s="204"/>
      <c r="P142" s="185"/>
    </row>
    <row r="143" spans="1:16" ht="15.6" x14ac:dyDescent="0.3">
      <c r="A143" s="185"/>
      <c r="B143" s="199"/>
      <c r="C143" s="199"/>
      <c r="D143" s="199"/>
      <c r="E143" s="199"/>
      <c r="F143" s="199"/>
      <c r="G143" s="199"/>
      <c r="H143" s="199"/>
      <c r="I143" s="199"/>
      <c r="J143" s="199"/>
      <c r="K143" s="205"/>
      <c r="L143" s="204"/>
      <c r="M143" s="205"/>
      <c r="N143" s="204"/>
      <c r="O143" s="204"/>
      <c r="P143" s="185"/>
    </row>
    <row r="144" spans="1:16" ht="15.75" customHeight="1" x14ac:dyDescent="0.3">
      <c r="A144" s="185"/>
      <c r="B144" s="199" t="s">
        <v>1121</v>
      </c>
      <c r="C144" s="199"/>
      <c r="D144" s="199"/>
      <c r="E144" s="199"/>
      <c r="F144" s="199"/>
      <c r="G144" s="199"/>
      <c r="H144" s="199"/>
      <c r="I144" s="199"/>
      <c r="J144" s="200"/>
      <c r="K144" s="203"/>
      <c r="L144" s="204"/>
      <c r="M144" s="203">
        <f>+O96</f>
        <v>0</v>
      </c>
      <c r="N144" s="204"/>
      <c r="O144" s="204"/>
      <c r="P144" s="185"/>
    </row>
    <row r="145" spans="1:16" ht="15.6" x14ac:dyDescent="0.3">
      <c r="A145" s="185"/>
      <c r="B145" s="199"/>
      <c r="C145" s="200"/>
      <c r="D145" s="206"/>
      <c r="E145" s="206"/>
      <c r="F145" s="206"/>
      <c r="G145" s="206"/>
      <c r="H145" s="206"/>
      <c r="I145" s="206"/>
      <c r="J145" s="206"/>
      <c r="K145" s="204"/>
      <c r="L145" s="204"/>
      <c r="M145" s="204"/>
      <c r="N145" s="204"/>
      <c r="O145" s="204"/>
      <c r="P145" s="185"/>
    </row>
    <row r="146" spans="1:16" ht="15.75" customHeight="1" x14ac:dyDescent="0.3">
      <c r="A146" s="185"/>
      <c r="B146" s="199" t="s">
        <v>1125</v>
      </c>
      <c r="C146" s="199"/>
      <c r="D146" s="199"/>
      <c r="E146" s="199"/>
      <c r="F146" s="199"/>
      <c r="G146" s="199"/>
      <c r="H146" s="199"/>
      <c r="I146" s="199"/>
      <c r="J146" s="207"/>
      <c r="K146" s="203"/>
      <c r="L146" s="204"/>
      <c r="M146" s="203">
        <f>+O113</f>
        <v>0</v>
      </c>
      <c r="N146" s="204"/>
      <c r="O146" s="204"/>
      <c r="P146" s="185"/>
    </row>
    <row r="147" spans="1:16" ht="15.6" x14ac:dyDescent="0.3">
      <c r="A147" s="185"/>
      <c r="B147" s="199"/>
      <c r="C147" s="199"/>
      <c r="D147" s="199"/>
      <c r="E147" s="199"/>
      <c r="F147" s="199"/>
      <c r="G147" s="199"/>
      <c r="H147" s="199"/>
      <c r="I147" s="199"/>
      <c r="J147" s="199"/>
      <c r="K147" s="204"/>
      <c r="L147" s="204"/>
      <c r="M147" s="204"/>
      <c r="N147" s="204"/>
      <c r="O147" s="204"/>
      <c r="P147" s="185"/>
    </row>
    <row r="148" spans="1:16" ht="15.75" customHeight="1" x14ac:dyDescent="0.3">
      <c r="A148" s="185"/>
      <c r="B148" s="199" t="s">
        <v>1128</v>
      </c>
      <c r="C148" s="199"/>
      <c r="D148" s="199"/>
      <c r="E148" s="199"/>
      <c r="F148" s="199"/>
      <c r="G148" s="199"/>
      <c r="H148" s="199"/>
      <c r="I148" s="199"/>
      <c r="J148" s="207"/>
      <c r="K148" s="203"/>
      <c r="L148" s="204"/>
      <c r="M148" s="203">
        <f>+O119</f>
        <v>0</v>
      </c>
      <c r="N148" s="204"/>
      <c r="O148" s="204"/>
      <c r="P148" s="185"/>
    </row>
    <row r="149" spans="1:16" ht="15.6" x14ac:dyDescent="0.3">
      <c r="A149" s="185"/>
      <c r="B149" s="199"/>
      <c r="C149" s="203"/>
      <c r="D149" s="203"/>
      <c r="E149" s="203"/>
      <c r="F149" s="203"/>
      <c r="G149" s="203"/>
      <c r="H149" s="203"/>
      <c r="I149" s="203"/>
      <c r="J149" s="203"/>
      <c r="K149" s="203"/>
      <c r="L149" s="203"/>
      <c r="M149" s="203"/>
      <c r="N149" s="204"/>
      <c r="O149" s="204"/>
      <c r="P149" s="185"/>
    </row>
    <row r="150" spans="1:16" ht="15.75" customHeight="1" x14ac:dyDescent="0.3">
      <c r="A150" s="172"/>
      <c r="B150" s="199" t="s">
        <v>1203</v>
      </c>
      <c r="C150" s="199"/>
      <c r="D150" s="199"/>
      <c r="E150" s="199"/>
      <c r="F150" s="199"/>
      <c r="G150" s="199"/>
      <c r="H150" s="199"/>
      <c r="I150" s="199"/>
      <c r="J150" s="172"/>
      <c r="K150" s="190"/>
      <c r="L150" s="175"/>
      <c r="M150" s="203">
        <f>+O125</f>
        <v>0</v>
      </c>
      <c r="N150" s="175"/>
      <c r="O150" s="175"/>
      <c r="P150" s="180"/>
    </row>
    <row r="151" spans="1:16" x14ac:dyDescent="0.25">
      <c r="A151" s="172"/>
      <c r="B151" s="199"/>
      <c r="C151" s="200"/>
      <c r="D151" s="175"/>
      <c r="E151" s="175"/>
      <c r="F151" s="175"/>
      <c r="G151" s="175"/>
      <c r="H151" s="175"/>
      <c r="I151" s="175"/>
      <c r="J151" s="175"/>
      <c r="K151" s="175"/>
      <c r="L151" s="175"/>
      <c r="M151" s="175"/>
      <c r="N151" s="175"/>
      <c r="O151" s="175"/>
      <c r="P151" s="180"/>
    </row>
    <row r="152" spans="1:16" ht="17.399999999999999" x14ac:dyDescent="0.3">
      <c r="A152" s="172"/>
      <c r="B152" s="211" t="s">
        <v>1108</v>
      </c>
      <c r="C152" s="218"/>
      <c r="D152" s="214" t="s">
        <v>1132</v>
      </c>
      <c r="E152" s="218"/>
      <c r="F152" s="218"/>
      <c r="G152" s="218"/>
      <c r="H152" s="218"/>
      <c r="I152" s="219"/>
      <c r="J152" s="219"/>
      <c r="K152" s="226"/>
      <c r="L152" s="219"/>
      <c r="M152" s="220"/>
      <c r="N152" s="220"/>
      <c r="O152" s="227">
        <f>SUM(M138:M150)</f>
        <v>0</v>
      </c>
      <c r="P152" s="172"/>
    </row>
    <row r="153" spans="1:16" x14ac:dyDescent="0.25">
      <c r="A153" s="172"/>
      <c r="B153" s="172"/>
      <c r="C153" s="172"/>
      <c r="D153" s="166" t="s">
        <v>1133</v>
      </c>
      <c r="E153" s="172"/>
      <c r="F153" s="172"/>
      <c r="G153" s="172"/>
      <c r="H153" s="172"/>
      <c r="I153" s="172"/>
      <c r="J153" s="172"/>
      <c r="K153" s="190"/>
      <c r="L153" s="175"/>
      <c r="M153" s="175"/>
      <c r="N153" s="175"/>
      <c r="O153" s="175"/>
      <c r="P153" s="172"/>
    </row>
    <row r="154" spans="1:16" x14ac:dyDescent="0.25">
      <c r="A154" s="172"/>
      <c r="B154" s="172"/>
      <c r="C154" s="172"/>
      <c r="D154" s="166"/>
      <c r="E154" s="172"/>
      <c r="F154" s="172"/>
      <c r="G154" s="172"/>
      <c r="H154" s="172"/>
      <c r="I154" s="172"/>
      <c r="J154" s="172"/>
      <c r="K154" s="190"/>
      <c r="L154" s="175"/>
      <c r="M154" s="175"/>
      <c r="N154" s="175"/>
      <c r="O154" s="175"/>
      <c r="P154" s="172"/>
    </row>
    <row r="155" spans="1:16" ht="17.399999999999999" x14ac:dyDescent="0.3">
      <c r="A155" s="172"/>
      <c r="B155" s="211" t="s">
        <v>1134</v>
      </c>
      <c r="C155" s="218"/>
      <c r="D155" s="214" t="s">
        <v>1135</v>
      </c>
      <c r="E155" s="218"/>
      <c r="F155" s="218"/>
      <c r="G155" s="218"/>
      <c r="H155" s="218"/>
      <c r="I155" s="219"/>
      <c r="J155" s="219"/>
      <c r="K155" s="220"/>
      <c r="L155" s="219"/>
      <c r="M155" s="220"/>
      <c r="N155" s="220"/>
      <c r="O155" s="227">
        <f>O136-O152</f>
        <v>0</v>
      </c>
      <c r="P155" s="172"/>
    </row>
    <row r="156" spans="1:16" x14ac:dyDescent="0.25">
      <c r="A156" s="172"/>
      <c r="B156" s="172"/>
      <c r="C156" s="172"/>
      <c r="D156" s="166" t="s">
        <v>1136</v>
      </c>
      <c r="E156" s="172"/>
      <c r="F156" s="172"/>
      <c r="G156" s="172"/>
      <c r="H156" s="172"/>
      <c r="I156" s="172"/>
      <c r="J156" s="172"/>
      <c r="K156" s="190"/>
      <c r="L156" s="175"/>
      <c r="M156" s="175"/>
      <c r="N156" s="175"/>
      <c r="O156" s="175"/>
      <c r="P156" s="172"/>
    </row>
    <row r="157" spans="1:16" x14ac:dyDescent="0.25">
      <c r="A157" s="165"/>
      <c r="B157" s="172"/>
      <c r="C157" s="172"/>
      <c r="D157" s="166"/>
      <c r="E157" s="172"/>
      <c r="F157" s="172"/>
      <c r="G157" s="172"/>
      <c r="H157" s="172"/>
      <c r="I157" s="172"/>
      <c r="J157" s="172"/>
      <c r="K157" s="190"/>
      <c r="L157" s="175"/>
      <c r="M157" s="175"/>
      <c r="N157" s="175"/>
      <c r="O157" s="175"/>
      <c r="P157" s="165"/>
    </row>
    <row r="158" spans="1:16" x14ac:dyDescent="0.25">
      <c r="A158" s="144"/>
      <c r="B158" s="144"/>
      <c r="C158" s="144"/>
      <c r="D158" s="144"/>
      <c r="E158" s="144"/>
      <c r="F158" s="144"/>
      <c r="G158" s="144"/>
      <c r="H158" s="144"/>
      <c r="I158" s="144"/>
      <c r="J158" s="144"/>
      <c r="K158" s="144"/>
      <c r="L158" s="144"/>
      <c r="M158" s="144"/>
      <c r="N158" s="144"/>
      <c r="O158" s="144"/>
      <c r="P158" s="144"/>
    </row>
  </sheetData>
  <sheetProtection algorithmName="SHA-512" hashValue="9B57nBuAgm2DAZnSKMsJu9ezV9Gwerpu9gDaEkCtzmNYHrJGyPBmlWeDh9urm4a/7ScYR8tOXIUfw6esfkBJyw==" saltValue="PzLGQCTrrNHt6dd+zN/9DQ==" spinCount="100000" sheet="1" objects="1" scenarios="1"/>
  <dataValidations count="1">
    <dataValidation type="date" allowBlank="1" showInputMessage="1" showErrorMessage="1" errorTitle="Fair Funding Team" error="The date entered should be between 01/04/17 and 31/03/20.  The format used should also detail **/**/**" sqref="K54:K58 K63:K67 K72:K74 K85:K89 K94" xr:uid="{626BB5F1-DA80-4FF2-844B-097CABB268E4}">
      <formula1>42826</formula1>
      <formula2>43921</formula2>
    </dataValidation>
  </dataValidations>
  <pageMargins left="0.7" right="0.7" top="0.75" bottom="0.75" header="0.3" footer="0.3"/>
  <pageSetup paperSize="9" scale="45" orientation="portrait" r:id="rId1"/>
  <rowBreaks count="1" manualBreakCount="1">
    <brk id="8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42DBF74E46544D9222E7A47FFD408E" ma:contentTypeVersion="12" ma:contentTypeDescription="Create a new document." ma:contentTypeScope="" ma:versionID="d34cdd86f526141066b9564fe4c3c4d9">
  <xsd:schema xmlns:xsd="http://www.w3.org/2001/XMLSchema" xmlns:xs="http://www.w3.org/2001/XMLSchema" xmlns:p="http://schemas.microsoft.com/office/2006/metadata/properties" xmlns:ns3="18d52200-c0d3-49d1-aefb-8e4a6e87486a" xmlns:ns4="a142b80d-944f-44f2-a3ac-74f5a99804bb" targetNamespace="http://schemas.microsoft.com/office/2006/metadata/properties" ma:root="true" ma:fieldsID="0cb3220f63d24a64c8f4adf7bdfc2668" ns3:_="" ns4:_="">
    <xsd:import namespace="18d52200-c0d3-49d1-aefb-8e4a6e87486a"/>
    <xsd:import namespace="a142b80d-944f-44f2-a3ac-74f5a99804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d52200-c0d3-49d1-aefb-8e4a6e874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42b80d-944f-44f2-a3ac-74f5a99804b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506594-84AE-4704-A605-37606A167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d52200-c0d3-49d1-aefb-8e4a6e87486a"/>
    <ds:schemaRef ds:uri="a142b80d-944f-44f2-a3ac-74f5a9980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CEC3EB-B30A-4506-91D7-28EE7536B7FE}">
  <ds:schemaRefs>
    <ds:schemaRef ds:uri="http://schemas.microsoft.com/office/infopath/2007/PartnerControls"/>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a142b80d-944f-44f2-a3ac-74f5a99804bb"/>
    <ds:schemaRef ds:uri="18d52200-c0d3-49d1-aefb-8e4a6e87486a"/>
  </ds:schemaRefs>
</ds:datastoreItem>
</file>

<file path=customXml/itemProps3.xml><?xml version="1.0" encoding="utf-8"?>
<ds:datastoreItem xmlns:ds="http://schemas.openxmlformats.org/officeDocument/2006/customXml" ds:itemID="{59602A32-3D4A-48BC-879F-D4B14B5FF0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MENU </vt:lpstr>
      <vt:lpstr>Schl Budget Share Notification</vt:lpstr>
      <vt:lpstr>DC Carry Forward Notification</vt:lpstr>
      <vt:lpstr>Blade-Export_15-08-2022_cfrdata</vt:lpstr>
      <vt:lpstr> DFC DETAIL</vt:lpstr>
      <vt:lpstr>Sheet1</vt:lpstr>
      <vt:lpstr>SBS Additions</vt:lpstr>
      <vt:lpstr>Carry Forward 2022</vt:lpstr>
      <vt:lpstr>Surplus Balance Analysis </vt:lpstr>
      <vt:lpstr>Surplus Balance Guidance Notes</vt:lpstr>
      <vt:lpstr>School List from APT</vt:lpstr>
      <vt:lpstr>'Schl Budget Share Notification'!Print_Area</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Carry Forward Notification</dc:title>
  <dc:creator>Sariya Bi</dc:creator>
  <cp:lastModifiedBy>Vikki Rainbow</cp:lastModifiedBy>
  <dcterms:created xsi:type="dcterms:W3CDTF">2021-05-28T14:36:35Z</dcterms:created>
  <dcterms:modified xsi:type="dcterms:W3CDTF">2022-08-22T13:54:27Z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0x010100B342DBF74E46544D9222E7A47FFD408E</vt:lpwstr>
  </property>
  <property fmtid="{D5CDD505-2E9C-101B-9397-08002B2CF9AE}" pid="3" name="CloudStatistics_StoryID">
    <vt:lpwstr>34538437-0757-464a-9d95-91e61230b66b</vt:lpwstr>
  </property>
</Properties>
</file>