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0730" windowHeight="11760"/>
  </bookViews>
  <sheets>
    <sheet name="introduction" sheetId="4" r:id="rId1"/>
    <sheet name="age" sheetId="3" r:id="rId2"/>
    <sheet name="LAs in WMR" sheetId="1" r:id="rId3"/>
    <sheet name="Birmingham compare" sheetId="2" r:id="rId4"/>
    <sheet name="Birmingham Plan" sheetId="5" r:id="rId5"/>
  </sheets>
  <definedNames>
    <definedName name="_xlnm.Print_Area" localSheetId="1">age!$A$1:$O$35</definedName>
    <definedName name="_xlnm.Print_Area" localSheetId="3">'Birmingham compare'!$A$1:$N$33</definedName>
    <definedName name="_xlnm.Print_Area" localSheetId="0">introduction!$A$1:$M$34</definedName>
    <definedName name="_xlnm.Print_Area" localSheetId="2">'LAs in WMR'!$A$4:$P$32</definedName>
    <definedName name="_xlnm.Print_Titles" localSheetId="1">age!$BB:$BC,age!$1:$4</definedName>
  </definedNames>
  <calcPr calcId="145621"/>
</workbook>
</file>

<file path=xl/calcChain.xml><?xml version="1.0" encoding="utf-8"?>
<calcChain xmlns="http://schemas.openxmlformats.org/spreadsheetml/2006/main">
  <c r="Y809" i="5" l="1"/>
  <c r="Y810" i="5"/>
  <c r="X809" i="5"/>
  <c r="X810" i="5"/>
  <c r="W809" i="5"/>
  <c r="W810" i="5"/>
  <c r="W812" i="5" s="1"/>
  <c r="W813" i="5" s="1"/>
  <c r="W808" i="5"/>
  <c r="Y808" i="5" s="1"/>
  <c r="AT27" i="3"/>
  <c r="AS27" i="3"/>
  <c r="AT26" i="3"/>
  <c r="AS26" i="3"/>
  <c r="AU7" i="3"/>
  <c r="AV7" i="3" s="1"/>
  <c r="AU8" i="3"/>
  <c r="AV8" i="3" s="1"/>
  <c r="AU9" i="3"/>
  <c r="AU10" i="3"/>
  <c r="AW10" i="3" s="1"/>
  <c r="AU11" i="3"/>
  <c r="AW11" i="3" s="1"/>
  <c r="AU12" i="3"/>
  <c r="AV12" i="3" s="1"/>
  <c r="AU13" i="3"/>
  <c r="AW13" i="3" s="1"/>
  <c r="AU14" i="3"/>
  <c r="AV14" i="3" s="1"/>
  <c r="AU15" i="3"/>
  <c r="AW15" i="3" s="1"/>
  <c r="AU16" i="3"/>
  <c r="AV16" i="3" s="1"/>
  <c r="AU17" i="3"/>
  <c r="AU18" i="3"/>
  <c r="AU19" i="3"/>
  <c r="AU20" i="3"/>
  <c r="AU21" i="3"/>
  <c r="AV21" i="3" s="1"/>
  <c r="AU22" i="3"/>
  <c r="AU6" i="3"/>
  <c r="AW6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S7" i="3" s="1"/>
  <c r="BT27" i="3"/>
  <c r="BT7" i="3"/>
  <c r="BU27" i="3"/>
  <c r="BV27" i="3"/>
  <c r="BW27" i="3"/>
  <c r="BW7" i="3"/>
  <c r="BX27" i="3"/>
  <c r="BY27" i="3"/>
  <c r="BZ27" i="3"/>
  <c r="BZ7" i="3"/>
  <c r="CA27" i="3"/>
  <c r="CB27" i="3"/>
  <c r="CC27" i="3"/>
  <c r="CD27" i="3"/>
  <c r="CD7" i="3"/>
  <c r="CE27" i="3"/>
  <c r="CE7" i="3" s="1"/>
  <c r="CF27" i="3"/>
  <c r="CG27" i="3"/>
  <c r="CG7" i="3" s="1"/>
  <c r="CH27" i="3"/>
  <c r="CH7" i="3"/>
  <c r="CI27" i="3"/>
  <c r="CI7" i="3" s="1"/>
  <c r="CJ27" i="3"/>
  <c r="CJ7" i="3" s="1"/>
  <c r="CK27" i="3"/>
  <c r="CK7" i="3" s="1"/>
  <c r="CL27" i="3"/>
  <c r="CM27" i="3"/>
  <c r="CM7" i="3"/>
  <c r="CN27" i="3"/>
  <c r="CN7" i="3"/>
  <c r="CO27" i="3"/>
  <c r="CO7" i="3"/>
  <c r="CP27" i="3"/>
  <c r="CQ27" i="3"/>
  <c r="CR27" i="3"/>
  <c r="CR7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S8" i="3" s="1"/>
  <c r="BT28" i="3"/>
  <c r="BU28" i="3"/>
  <c r="BU8" i="3"/>
  <c r="BV28" i="3"/>
  <c r="BW28" i="3"/>
  <c r="BW8" i="3"/>
  <c r="BX28" i="3"/>
  <c r="BX8" i="3" s="1"/>
  <c r="BY28" i="3"/>
  <c r="BZ28" i="3"/>
  <c r="BZ8" i="3"/>
  <c r="CA28" i="3"/>
  <c r="CB28" i="3"/>
  <c r="CB8" i="3"/>
  <c r="CC28" i="3"/>
  <c r="CC8" i="3" s="1"/>
  <c r="CD28" i="3"/>
  <c r="CE28" i="3"/>
  <c r="CE8" i="3"/>
  <c r="CF28" i="3"/>
  <c r="CF8" i="3"/>
  <c r="CG28" i="3"/>
  <c r="CG8" i="3"/>
  <c r="CH28" i="3"/>
  <c r="CH8" i="3"/>
  <c r="CI28" i="3"/>
  <c r="CI8" i="3"/>
  <c r="CJ28" i="3"/>
  <c r="CK28" i="3"/>
  <c r="CK8" i="3" s="1"/>
  <c r="CL28" i="3"/>
  <c r="CL8" i="3" s="1"/>
  <c r="CM28" i="3"/>
  <c r="CM8" i="3" s="1"/>
  <c r="CN28" i="3"/>
  <c r="CN8" i="3" s="1"/>
  <c r="CO28" i="3"/>
  <c r="CP28" i="3"/>
  <c r="CP8" i="3"/>
  <c r="CQ28" i="3"/>
  <c r="CQ8" i="3"/>
  <c r="CR28" i="3"/>
  <c r="CR8" i="3" s="1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S9" i="3" s="1"/>
  <c r="BT29" i="3"/>
  <c r="BT9" i="3"/>
  <c r="BU29" i="3"/>
  <c r="BU9" i="3" s="1"/>
  <c r="BV29" i="3"/>
  <c r="BV9" i="3" s="1"/>
  <c r="BW29" i="3"/>
  <c r="BW9" i="3" s="1"/>
  <c r="BX29" i="3"/>
  <c r="BX9" i="3" s="1"/>
  <c r="BY29" i="3"/>
  <c r="BY9" i="3" s="1"/>
  <c r="BZ29" i="3"/>
  <c r="BZ9" i="3" s="1"/>
  <c r="CA29" i="3"/>
  <c r="CA9" i="3" s="1"/>
  <c r="CB29" i="3"/>
  <c r="CB9" i="3" s="1"/>
  <c r="CC29" i="3"/>
  <c r="CC9" i="3" s="1"/>
  <c r="CD29" i="3"/>
  <c r="CD9" i="3" s="1"/>
  <c r="CE29" i="3"/>
  <c r="CF29" i="3"/>
  <c r="CF9" i="3"/>
  <c r="CG29" i="3"/>
  <c r="CG9" i="3"/>
  <c r="CH29" i="3"/>
  <c r="CH9" i="3"/>
  <c r="CI29" i="3"/>
  <c r="CI9" i="3"/>
  <c r="CJ29" i="3"/>
  <c r="CK29" i="3"/>
  <c r="CK9" i="3" s="1"/>
  <c r="CL29" i="3"/>
  <c r="CL9" i="3" s="1"/>
  <c r="CM29" i="3"/>
  <c r="CN29" i="3"/>
  <c r="CN9" i="3"/>
  <c r="CO29" i="3"/>
  <c r="CO9" i="3"/>
  <c r="CP29" i="3"/>
  <c r="CP9" i="3"/>
  <c r="CQ29" i="3"/>
  <c r="CQ9" i="3"/>
  <c r="CR29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S10" i="3"/>
  <c r="BT30" i="3"/>
  <c r="BT10" i="3"/>
  <c r="BU30" i="3"/>
  <c r="BU10" i="3"/>
  <c r="BV30" i="3"/>
  <c r="BV10" i="3"/>
  <c r="BW30" i="3"/>
  <c r="BX30" i="3"/>
  <c r="BY30" i="3"/>
  <c r="BZ30" i="3"/>
  <c r="BZ10" i="3" s="1"/>
  <c r="CA30" i="3"/>
  <c r="CA10" i="3" s="1"/>
  <c r="CB30" i="3"/>
  <c r="CB10" i="3" s="1"/>
  <c r="CC30" i="3"/>
  <c r="CD30" i="3"/>
  <c r="CD10" i="3"/>
  <c r="CE30" i="3"/>
  <c r="CE10" i="3"/>
  <c r="CF30" i="3"/>
  <c r="CF10" i="3"/>
  <c r="CG30" i="3"/>
  <c r="CH30" i="3"/>
  <c r="CI30" i="3"/>
  <c r="CJ30" i="3"/>
  <c r="CJ10" i="3" s="1"/>
  <c r="CK30" i="3"/>
  <c r="CK10" i="3" s="1"/>
  <c r="CL30" i="3"/>
  <c r="CL10" i="3" s="1"/>
  <c r="CM30" i="3"/>
  <c r="CM10" i="3" s="1"/>
  <c r="CN30" i="3"/>
  <c r="CO30" i="3"/>
  <c r="CO10" i="3"/>
  <c r="CP30" i="3"/>
  <c r="CP10" i="3"/>
  <c r="CQ30" i="3"/>
  <c r="CR30" i="3"/>
  <c r="CR10" i="3" s="1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U11" i="3"/>
  <c r="BV31" i="3"/>
  <c r="BW31" i="3"/>
  <c r="BW11" i="3" s="1"/>
  <c r="BX31" i="3"/>
  <c r="BX11" i="3" s="1"/>
  <c r="BY31" i="3"/>
  <c r="BY11" i="3" s="1"/>
  <c r="BZ31" i="3"/>
  <c r="CA31" i="3"/>
  <c r="CA11" i="3"/>
  <c r="CB31" i="3"/>
  <c r="CB11" i="3"/>
  <c r="CC31" i="3"/>
  <c r="CD31" i="3"/>
  <c r="CD11" i="3" s="1"/>
  <c r="CE31" i="3"/>
  <c r="CE11" i="3" s="1"/>
  <c r="CF31" i="3"/>
  <c r="CG31" i="3"/>
  <c r="CH31" i="3"/>
  <c r="CH11" i="3" s="1"/>
  <c r="CI31" i="3"/>
  <c r="CI11" i="3" s="1"/>
  <c r="CJ31" i="3"/>
  <c r="CJ11" i="3" s="1"/>
  <c r="CK31" i="3"/>
  <c r="CL31" i="3"/>
  <c r="CL11" i="3"/>
  <c r="CM31" i="3"/>
  <c r="CN31" i="3"/>
  <c r="CO31" i="3"/>
  <c r="CP31" i="3"/>
  <c r="CQ31" i="3"/>
  <c r="CR31" i="3"/>
  <c r="CR11" i="3" s="1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S12" i="3"/>
  <c r="BT32" i="3"/>
  <c r="BT12" i="3"/>
  <c r="BU32" i="3"/>
  <c r="BU12" i="3"/>
  <c r="BV32" i="3"/>
  <c r="BW32" i="3"/>
  <c r="BW12" i="3" s="1"/>
  <c r="BX32" i="3"/>
  <c r="BX12" i="3" s="1"/>
  <c r="BY32" i="3"/>
  <c r="BY12" i="3" s="1"/>
  <c r="BZ32" i="3"/>
  <c r="BZ12" i="3" s="1"/>
  <c r="CA32" i="3"/>
  <c r="CA12" i="3" s="1"/>
  <c r="CB32" i="3"/>
  <c r="CB12" i="3" s="1"/>
  <c r="CC32" i="3"/>
  <c r="CC12" i="3" s="1"/>
  <c r="CD32" i="3"/>
  <c r="CE32" i="3"/>
  <c r="CE12" i="3"/>
  <c r="CF32" i="3"/>
  <c r="CF12" i="3"/>
  <c r="CG32" i="3"/>
  <c r="CG12" i="3"/>
  <c r="CH32" i="3"/>
  <c r="CH12" i="3"/>
  <c r="CI32" i="3"/>
  <c r="CI12" i="3"/>
  <c r="CJ32" i="3"/>
  <c r="CJ12" i="3"/>
  <c r="CK32" i="3"/>
  <c r="CK12" i="3"/>
  <c r="CL32" i="3"/>
  <c r="CL12" i="3"/>
  <c r="CM32" i="3"/>
  <c r="CM12" i="3"/>
  <c r="CN32" i="3"/>
  <c r="CN12" i="3"/>
  <c r="CO32" i="3"/>
  <c r="CP32" i="3"/>
  <c r="CP12" i="3" s="1"/>
  <c r="CQ32" i="3"/>
  <c r="CQ12" i="3" s="1"/>
  <c r="CR32" i="3"/>
  <c r="CR12" i="3" s="1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S13" i="3"/>
  <c r="BT33" i="3"/>
  <c r="BU33" i="3"/>
  <c r="BV33" i="3"/>
  <c r="BV13" i="3"/>
  <c r="BW33" i="3"/>
  <c r="BX33" i="3"/>
  <c r="BX13" i="3" s="1"/>
  <c r="BY33" i="3"/>
  <c r="BY13" i="3" s="1"/>
  <c r="BZ33" i="3"/>
  <c r="CA33" i="3"/>
  <c r="CA13" i="3"/>
  <c r="CB33" i="3"/>
  <c r="CB13" i="3"/>
  <c r="CC33" i="3"/>
  <c r="CD33" i="3"/>
  <c r="CD13" i="3" s="1"/>
  <c r="CE33" i="3"/>
  <c r="CE13" i="3" s="1"/>
  <c r="CF33" i="3"/>
  <c r="CG33" i="3"/>
  <c r="CG13" i="3"/>
  <c r="CH33" i="3"/>
  <c r="CH13" i="3"/>
  <c r="CI33" i="3"/>
  <c r="CJ33" i="3"/>
  <c r="CJ13" i="3" s="1"/>
  <c r="CK33" i="3"/>
  <c r="CK13" i="3" s="1"/>
  <c r="CL33" i="3"/>
  <c r="CM33" i="3"/>
  <c r="CN33" i="3"/>
  <c r="CN13" i="3" s="1"/>
  <c r="CO33" i="3"/>
  <c r="CO13" i="3" s="1"/>
  <c r="CP33" i="3"/>
  <c r="CP13" i="3" s="1"/>
  <c r="CQ33" i="3"/>
  <c r="CQ13" i="3" s="1"/>
  <c r="CR33" i="3"/>
  <c r="CR13" i="3" s="1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S14" i="3"/>
  <c r="BT34" i="3"/>
  <c r="BT14" i="3"/>
  <c r="BU34" i="3"/>
  <c r="BV34" i="3"/>
  <c r="BW34" i="3"/>
  <c r="BW14" i="3"/>
  <c r="BX34" i="3"/>
  <c r="BY34" i="3"/>
  <c r="BZ34" i="3"/>
  <c r="BZ14" i="3"/>
  <c r="CA34" i="3"/>
  <c r="CB34" i="3"/>
  <c r="CC34" i="3"/>
  <c r="CD34" i="3"/>
  <c r="CE34" i="3"/>
  <c r="CE14" i="3"/>
  <c r="CF34" i="3"/>
  <c r="CF14" i="3"/>
  <c r="CG34" i="3"/>
  <c r="CH34" i="3"/>
  <c r="CH14" i="3" s="1"/>
  <c r="CI34" i="3"/>
  <c r="CI14" i="3" s="1"/>
  <c r="CJ34" i="3"/>
  <c r="CK34" i="3"/>
  <c r="CK14" i="3"/>
  <c r="CL34" i="3"/>
  <c r="CL14" i="3"/>
  <c r="CM34" i="3"/>
  <c r="CM14" i="3"/>
  <c r="CN34" i="3"/>
  <c r="CN14" i="3"/>
  <c r="CO34" i="3"/>
  <c r="CP34" i="3"/>
  <c r="CP14" i="3" s="1"/>
  <c r="CQ34" i="3"/>
  <c r="CQ14" i="3" s="1"/>
  <c r="CR34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S51" i="3" s="1"/>
  <c r="B27" i="3" s="1"/>
  <c r="BT35" i="3"/>
  <c r="BT51" i="3"/>
  <c r="BU35" i="3"/>
  <c r="BU51" i="3" s="1"/>
  <c r="BV35" i="3"/>
  <c r="BV51" i="3"/>
  <c r="BW35" i="3"/>
  <c r="BW51" i="3" s="1"/>
  <c r="BX35" i="3"/>
  <c r="BX15" i="3"/>
  <c r="BY35" i="3"/>
  <c r="BY51" i="3" s="1"/>
  <c r="BZ35" i="3"/>
  <c r="BZ51" i="3"/>
  <c r="CA35" i="3"/>
  <c r="CA51" i="3" s="1"/>
  <c r="CB35" i="3"/>
  <c r="CB51" i="3"/>
  <c r="CC35" i="3"/>
  <c r="CC51" i="3" s="1"/>
  <c r="CD35" i="3"/>
  <c r="CD51" i="3"/>
  <c r="CE35" i="3"/>
  <c r="CF35" i="3"/>
  <c r="CF15" i="3"/>
  <c r="CG35" i="3"/>
  <c r="CG51" i="3"/>
  <c r="CH35" i="3"/>
  <c r="CH51" i="3"/>
  <c r="CI35" i="3"/>
  <c r="CJ35" i="3"/>
  <c r="CJ51" i="3" s="1"/>
  <c r="CK35" i="3"/>
  <c r="CK51" i="3"/>
  <c r="CL35" i="3"/>
  <c r="CL51" i="3" s="1"/>
  <c r="CM35" i="3"/>
  <c r="CM51" i="3"/>
  <c r="CN35" i="3"/>
  <c r="CN15" i="3" s="1"/>
  <c r="CO35" i="3"/>
  <c r="CO51" i="3"/>
  <c r="CP35" i="3"/>
  <c r="CP51" i="3" s="1"/>
  <c r="CQ35" i="3"/>
  <c r="CR35" i="3"/>
  <c r="CR15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S16" i="3" s="1"/>
  <c r="BT36" i="3"/>
  <c r="BT16" i="3"/>
  <c r="BU36" i="3"/>
  <c r="BV36" i="3"/>
  <c r="BV16" i="3"/>
  <c r="BW36" i="3"/>
  <c r="BW16" i="3" s="1"/>
  <c r="BX36" i="3"/>
  <c r="BX52" i="3"/>
  <c r="BY36" i="3"/>
  <c r="BZ36" i="3"/>
  <c r="BZ16" i="3" s="1"/>
  <c r="CA36" i="3"/>
  <c r="CA16" i="3"/>
  <c r="CB36" i="3"/>
  <c r="CB16" i="3" s="1"/>
  <c r="CC36" i="3"/>
  <c r="CD36" i="3"/>
  <c r="CD52" i="3" s="1"/>
  <c r="CE36" i="3"/>
  <c r="CE16" i="3"/>
  <c r="CF36" i="3"/>
  <c r="CF16" i="3" s="1"/>
  <c r="CG36" i="3"/>
  <c r="CH36" i="3"/>
  <c r="CH16" i="3"/>
  <c r="CI36" i="3"/>
  <c r="CI16" i="3" s="1"/>
  <c r="CJ36" i="3"/>
  <c r="CJ16" i="3"/>
  <c r="CK36" i="3"/>
  <c r="CL36" i="3"/>
  <c r="CL52" i="3"/>
  <c r="CM36" i="3"/>
  <c r="CM16" i="3" s="1"/>
  <c r="CN36" i="3"/>
  <c r="CN16" i="3"/>
  <c r="CO36" i="3"/>
  <c r="CP36" i="3"/>
  <c r="CP16" i="3" s="1"/>
  <c r="CQ36" i="3"/>
  <c r="CQ52" i="3"/>
  <c r="CR36" i="3"/>
  <c r="CR16" i="3" s="1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S17" i="3"/>
  <c r="BT37" i="3"/>
  <c r="BU37" i="3"/>
  <c r="BV37" i="3"/>
  <c r="BV17" i="3"/>
  <c r="BW37" i="3"/>
  <c r="BX37" i="3"/>
  <c r="BY37" i="3"/>
  <c r="BZ37" i="3"/>
  <c r="CA37" i="3"/>
  <c r="CB37" i="3"/>
  <c r="CB17" i="3" s="1"/>
  <c r="CC37" i="3"/>
  <c r="CC17" i="3"/>
  <c r="CD37" i="3"/>
  <c r="CE37" i="3"/>
  <c r="CF37" i="3"/>
  <c r="CF17" i="3"/>
  <c r="CG37" i="3"/>
  <c r="CG17" i="3" s="1"/>
  <c r="CH37" i="3"/>
  <c r="CI37" i="3"/>
  <c r="CJ37" i="3"/>
  <c r="CJ17" i="3" s="1"/>
  <c r="CK37" i="3"/>
  <c r="CL37" i="3"/>
  <c r="CM37" i="3"/>
  <c r="CN37" i="3"/>
  <c r="CO37" i="3"/>
  <c r="CP37" i="3"/>
  <c r="CQ37" i="3"/>
  <c r="CR37" i="3"/>
  <c r="CR17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S18" i="3"/>
  <c r="BT38" i="3"/>
  <c r="BU38" i="3"/>
  <c r="BV38" i="3"/>
  <c r="BV18" i="3"/>
  <c r="BW38" i="3"/>
  <c r="BW18" i="3" s="1"/>
  <c r="BX38" i="3"/>
  <c r="BX18" i="3"/>
  <c r="BY38" i="3"/>
  <c r="BZ38" i="3"/>
  <c r="BZ18" i="3"/>
  <c r="CA38" i="3"/>
  <c r="CA18" i="3" s="1"/>
  <c r="CB38" i="3"/>
  <c r="CC38" i="3"/>
  <c r="CD38" i="3"/>
  <c r="CD18" i="3" s="1"/>
  <c r="CE38" i="3"/>
  <c r="CE18" i="3"/>
  <c r="CF38" i="3"/>
  <c r="CF18" i="3" s="1"/>
  <c r="CG38" i="3"/>
  <c r="CH38" i="3"/>
  <c r="CH18" i="3" s="1"/>
  <c r="CI38" i="3"/>
  <c r="CI18" i="3"/>
  <c r="CJ38" i="3"/>
  <c r="CJ18" i="3" s="1"/>
  <c r="CK38" i="3"/>
  <c r="CL38" i="3"/>
  <c r="CL18" i="3"/>
  <c r="CM38" i="3"/>
  <c r="CM18" i="3" s="1"/>
  <c r="CN38" i="3"/>
  <c r="CN18" i="3" s="1"/>
  <c r="CO38" i="3"/>
  <c r="CO18" i="3" s="1"/>
  <c r="CP38" i="3"/>
  <c r="CP18" i="3" s="1"/>
  <c r="CQ38" i="3"/>
  <c r="CQ18" i="3" s="1"/>
  <c r="CR38" i="3"/>
  <c r="CR18" i="3" s="1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S19" i="3"/>
  <c r="BT39" i="3"/>
  <c r="BT19" i="3"/>
  <c r="BU39" i="3"/>
  <c r="BV39" i="3"/>
  <c r="BW39" i="3"/>
  <c r="BX39" i="3"/>
  <c r="BX19" i="3" s="1"/>
  <c r="BY39" i="3"/>
  <c r="BZ39" i="3"/>
  <c r="BZ19" i="3"/>
  <c r="CA39" i="3"/>
  <c r="CA19" i="3"/>
  <c r="CB39" i="3"/>
  <c r="CB19" i="3"/>
  <c r="CC39" i="3"/>
  <c r="CD39" i="3"/>
  <c r="CD19" i="3" s="1"/>
  <c r="CE39" i="3"/>
  <c r="CE19" i="3" s="1"/>
  <c r="CF39" i="3"/>
  <c r="CG39" i="3"/>
  <c r="CH39" i="3"/>
  <c r="CI39" i="3"/>
  <c r="CI19" i="3"/>
  <c r="CJ39" i="3"/>
  <c r="CK39" i="3"/>
  <c r="CL39" i="3"/>
  <c r="CM39" i="3"/>
  <c r="CM19" i="3" s="1"/>
  <c r="CN39" i="3"/>
  <c r="CN19" i="3" s="1"/>
  <c r="CO39" i="3"/>
  <c r="CP39" i="3"/>
  <c r="CQ39" i="3"/>
  <c r="CR39" i="3"/>
  <c r="CR19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S20" i="3" s="1"/>
  <c r="BT40" i="3"/>
  <c r="BT20" i="3" s="1"/>
  <c r="BU40" i="3"/>
  <c r="BU20" i="3" s="1"/>
  <c r="BV40" i="3"/>
  <c r="BV20" i="3" s="1"/>
  <c r="BW40" i="3"/>
  <c r="BX40" i="3"/>
  <c r="BX20" i="3" s="1"/>
  <c r="BY40" i="3"/>
  <c r="BY20" i="3"/>
  <c r="BZ40" i="3"/>
  <c r="CA40" i="3"/>
  <c r="CB40" i="3"/>
  <c r="CC40" i="3"/>
  <c r="CC20" i="3" s="1"/>
  <c r="CD40" i="3"/>
  <c r="CE40" i="3"/>
  <c r="CF40" i="3"/>
  <c r="CF20" i="3" s="1"/>
  <c r="CG40" i="3"/>
  <c r="CH40" i="3"/>
  <c r="CH20" i="3"/>
  <c r="CI40" i="3"/>
  <c r="CJ40" i="3"/>
  <c r="CJ20" i="3" s="1"/>
  <c r="CK40" i="3"/>
  <c r="CK20" i="3" s="1"/>
  <c r="CL40" i="3"/>
  <c r="CL20" i="3" s="1"/>
  <c r="CM40" i="3"/>
  <c r="CN40" i="3"/>
  <c r="CN20" i="3" s="1"/>
  <c r="CO40" i="3"/>
  <c r="CO20" i="3"/>
  <c r="CP40" i="3"/>
  <c r="CP20" i="3" s="1"/>
  <c r="CQ40" i="3"/>
  <c r="CR40" i="3"/>
  <c r="CR20" i="3" s="1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U21" i="3"/>
  <c r="BV41" i="3"/>
  <c r="BW41" i="3"/>
  <c r="BX41" i="3"/>
  <c r="BY41" i="3"/>
  <c r="BZ41" i="3"/>
  <c r="CA41" i="3"/>
  <c r="CB41" i="3"/>
  <c r="CC41" i="3"/>
  <c r="CC21" i="3" s="1"/>
  <c r="CD41" i="3"/>
  <c r="CE41" i="3"/>
  <c r="CF41" i="3"/>
  <c r="CG41" i="3"/>
  <c r="CG21" i="3" s="1"/>
  <c r="CH41" i="3"/>
  <c r="CI41" i="3"/>
  <c r="CJ41" i="3"/>
  <c r="CJ21" i="3" s="1"/>
  <c r="CK41" i="3"/>
  <c r="CK21" i="3"/>
  <c r="CL41" i="3"/>
  <c r="CM41" i="3"/>
  <c r="CN41" i="3"/>
  <c r="CO41" i="3"/>
  <c r="CO21" i="3" s="1"/>
  <c r="CP41" i="3"/>
  <c r="CQ41" i="3"/>
  <c r="CR41" i="3"/>
  <c r="CR21" i="3" s="1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S22" i="3" s="1"/>
  <c r="BT42" i="3"/>
  <c r="BT22" i="3"/>
  <c r="BU42" i="3"/>
  <c r="BU22" i="3" s="1"/>
  <c r="BV42" i="3"/>
  <c r="BV22" i="3"/>
  <c r="BW42" i="3"/>
  <c r="BW22" i="3" s="1"/>
  <c r="BX42" i="3"/>
  <c r="BX22" i="3"/>
  <c r="BY42" i="3"/>
  <c r="BY22" i="3" s="1"/>
  <c r="BZ42" i="3"/>
  <c r="BZ22" i="3"/>
  <c r="CA42" i="3"/>
  <c r="CA22" i="3" s="1"/>
  <c r="CB42" i="3"/>
  <c r="CB22" i="3"/>
  <c r="CC42" i="3"/>
  <c r="CC22" i="3" s="1"/>
  <c r="CD42" i="3"/>
  <c r="CD22" i="3"/>
  <c r="CE42" i="3"/>
  <c r="CF42" i="3"/>
  <c r="CG42" i="3"/>
  <c r="CG22" i="3"/>
  <c r="CH42" i="3"/>
  <c r="CH22" i="3" s="1"/>
  <c r="CI42" i="3"/>
  <c r="CI22" i="3"/>
  <c r="CJ42" i="3"/>
  <c r="CK42" i="3"/>
  <c r="CK22" i="3"/>
  <c r="CL42" i="3"/>
  <c r="CL22" i="3" s="1"/>
  <c r="CM42" i="3"/>
  <c r="CM22" i="3"/>
  <c r="CN42" i="3"/>
  <c r="CO42" i="3"/>
  <c r="CO22" i="3" s="1"/>
  <c r="CP42" i="3"/>
  <c r="CQ42" i="3"/>
  <c r="CQ22" i="3" s="1"/>
  <c r="CR42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D46" i="3"/>
  <c r="CE46" i="3"/>
  <c r="CF46" i="3"/>
  <c r="CG46" i="3"/>
  <c r="CH46" i="3"/>
  <c r="CI46" i="3"/>
  <c r="CJ46" i="3"/>
  <c r="CK46" i="3"/>
  <c r="CL46" i="3"/>
  <c r="CM46" i="3"/>
  <c r="CN46" i="3"/>
  <c r="CO46" i="3"/>
  <c r="CP46" i="3"/>
  <c r="CQ46" i="3"/>
  <c r="CR46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EU43" i="1"/>
  <c r="FK43" i="1" s="1"/>
  <c r="CO14" i="3"/>
  <c r="BW20" i="3"/>
  <c r="CO50" i="3"/>
  <c r="BZ13" i="3"/>
  <c r="N13" i="1"/>
  <c r="AV15" i="3"/>
  <c r="AW14" i="3"/>
  <c r="BR54" i="3"/>
  <c r="CB54" i="3"/>
  <c r="BH53" i="3"/>
  <c r="BL51" i="3"/>
  <c r="BH51" i="3"/>
  <c r="BD60" i="3"/>
  <c r="CK50" i="3"/>
  <c r="CR50" i="3"/>
  <c r="CN50" i="3"/>
  <c r="CL50" i="3"/>
  <c r="BG47" i="3"/>
  <c r="BT45" i="3"/>
  <c r="CB55" i="3"/>
  <c r="BX55" i="3"/>
  <c r="BT55" i="3"/>
  <c r="CP54" i="3"/>
  <c r="CL54" i="3"/>
  <c r="CH54" i="3"/>
  <c r="BV54" i="3"/>
  <c r="CN53" i="3"/>
  <c r="BW50" i="3"/>
  <c r="BN48" i="3"/>
  <c r="CQ55" i="3"/>
  <c r="CO53" i="3"/>
  <c r="AX14" i="3"/>
  <c r="CN45" i="3"/>
  <c r="CJ45" i="3"/>
  <c r="CF45" i="3"/>
  <c r="CB45" i="3"/>
  <c r="BX45" i="3"/>
  <c r="BW55" i="3"/>
  <c r="CC54" i="3"/>
  <c r="BU54" i="3"/>
  <c r="CM53" i="3"/>
  <c r="CE53" i="3"/>
  <c r="CN58" i="3"/>
  <c r="CQ45" i="3"/>
  <c r="CR55" i="3"/>
  <c r="CD55" i="3"/>
  <c r="CM54" i="3"/>
  <c r="CI54" i="3"/>
  <c r="BW54" i="3"/>
  <c r="CC53" i="3"/>
  <c r="CP53" i="3"/>
  <c r="AX19" i="3"/>
  <c r="CR51" i="3"/>
  <c r="CR45" i="3"/>
  <c r="CA55" i="3"/>
  <c r="BS55" i="3"/>
  <c r="B31" i="3" s="1"/>
  <c r="BY54" i="3"/>
  <c r="CQ53" i="3"/>
  <c r="CI52" i="3"/>
  <c r="CD53" i="3"/>
  <c r="CN47" i="3"/>
  <c r="CI45" i="3"/>
  <c r="CL53" i="3"/>
  <c r="CF52" i="3"/>
  <c r="BW52" i="3"/>
  <c r="CN54" i="3"/>
  <c r="CN51" i="3"/>
  <c r="BX51" i="3"/>
  <c r="CM20" i="3"/>
  <c r="AW7" i="3"/>
  <c r="AV6" i="3"/>
  <c r="BW47" i="3"/>
  <c r="CJ49" i="3"/>
  <c r="BO51" i="3"/>
  <c r="BK51" i="3"/>
  <c r="BQ48" i="3"/>
  <c r="BI48" i="3"/>
  <c r="BE48" i="3"/>
  <c r="BR58" i="3"/>
  <c r="BN58" i="3"/>
  <c r="BJ47" i="3"/>
  <c r="CQ58" i="3"/>
  <c r="AX9" i="3"/>
  <c r="CN52" i="3"/>
  <c r="CE52" i="3"/>
  <c r="BX54" i="3"/>
  <c r="BU55" i="3"/>
  <c r="CA45" i="3"/>
  <c r="CP48" i="3"/>
  <c r="CE45" i="3"/>
  <c r="CF54" i="3"/>
  <c r="BU15" i="3"/>
  <c r="CE47" i="3"/>
  <c r="CQ17" i="3"/>
  <c r="CO45" i="3"/>
  <c r="CK45" i="3"/>
  <c r="CG45" i="3"/>
  <c r="CC45" i="3"/>
  <c r="BY45" i="3"/>
  <c r="BU45" i="3"/>
  <c r="BY50" i="3"/>
  <c r="BN50" i="3"/>
  <c r="CI50" i="3"/>
  <c r="BW13" i="3"/>
  <c r="BP50" i="3"/>
  <c r="BL50" i="3"/>
  <c r="BH50" i="3"/>
  <c r="BD50" i="3"/>
  <c r="BE49" i="3"/>
  <c r="BW48" i="3"/>
  <c r="CP58" i="3"/>
  <c r="CL58" i="3"/>
  <c r="BH58" i="3"/>
  <c r="CM52" i="3"/>
  <c r="CA52" i="3"/>
  <c r="CG55" i="3"/>
  <c r="CF51" i="3"/>
  <c r="AV19" i="3"/>
  <c r="BT17" i="3"/>
  <c r="BT53" i="3"/>
  <c r="CO16" i="3"/>
  <c r="CO52" i="3"/>
  <c r="CG16" i="3"/>
  <c r="CG52" i="3"/>
  <c r="BY16" i="3"/>
  <c r="BY52" i="3"/>
  <c r="BU60" i="3"/>
  <c r="CO12" i="3"/>
  <c r="CO49" i="3"/>
  <c r="AW20" i="3"/>
  <c r="AV20" i="3"/>
  <c r="CM21" i="3"/>
  <c r="CM55" i="3"/>
  <c r="CI21" i="3"/>
  <c r="CI55" i="3"/>
  <c r="CE21" i="3"/>
  <c r="CE55" i="3"/>
  <c r="CO19" i="3"/>
  <c r="CO54" i="3"/>
  <c r="CK19" i="3"/>
  <c r="CK54" i="3"/>
  <c r="CG19" i="3"/>
  <c r="CG54" i="3"/>
  <c r="CI17" i="3"/>
  <c r="CI53" i="3"/>
  <c r="CA17" i="3"/>
  <c r="CA53" i="3"/>
  <c r="BW17" i="3"/>
  <c r="BW53" i="3"/>
  <c r="BZ53" i="3"/>
  <c r="CJ54" i="3"/>
  <c r="BT54" i="3"/>
  <c r="CC55" i="3"/>
  <c r="CM45" i="3"/>
  <c r="BW45" i="3"/>
  <c r="CJ59" i="3"/>
  <c r="CA49" i="3"/>
  <c r="BZ45" i="3"/>
  <c r="CL45" i="3"/>
  <c r="BS45" i="3"/>
  <c r="C25" i="3" s="1"/>
  <c r="BV45" i="3"/>
  <c r="CD45" i="3"/>
  <c r="CH45" i="3"/>
  <c r="CP45" i="3"/>
  <c r="CN22" i="3"/>
  <c r="CN55" i="3"/>
  <c r="CJ22" i="3"/>
  <c r="CJ55" i="3"/>
  <c r="CF22" i="3"/>
  <c r="CF55" i="3"/>
  <c r="CP21" i="3"/>
  <c r="CP55" i="3"/>
  <c r="CL21" i="3"/>
  <c r="CL55" i="3"/>
  <c r="CH21" i="3"/>
  <c r="CH55" i="3"/>
  <c r="BZ55" i="3"/>
  <c r="BV55" i="3"/>
  <c r="BJ54" i="3"/>
  <c r="CQ20" i="3"/>
  <c r="CQ54" i="3"/>
  <c r="CE20" i="3"/>
  <c r="CE54" i="3"/>
  <c r="CA20" i="3"/>
  <c r="CA54" i="3"/>
  <c r="BP53" i="3"/>
  <c r="CK18" i="3"/>
  <c r="CK53" i="3"/>
  <c r="CG18" i="3"/>
  <c r="CG53" i="3"/>
  <c r="BY18" i="3"/>
  <c r="BY53" i="3"/>
  <c r="BU18" i="3"/>
  <c r="BU53" i="3"/>
  <c r="BZ17" i="3"/>
  <c r="BZ61" i="3"/>
  <c r="CR52" i="3"/>
  <c r="CJ52" i="3"/>
  <c r="CB52" i="3"/>
  <c r="BT52" i="3"/>
  <c r="BV53" i="3"/>
  <c r="CO55" i="3"/>
  <c r="BX17" i="3"/>
  <c r="BX53" i="3"/>
  <c r="CK16" i="3"/>
  <c r="CK52" i="3"/>
  <c r="CC16" i="3"/>
  <c r="CC52" i="3"/>
  <c r="BU16" i="3"/>
  <c r="BU52" i="3"/>
  <c r="CB47" i="3"/>
  <c r="CB7" i="3"/>
  <c r="CQ15" i="3"/>
  <c r="CQ51" i="3"/>
  <c r="CI15" i="3"/>
  <c r="CI60" i="3"/>
  <c r="CI51" i="3"/>
  <c r="CE15" i="3"/>
  <c r="CE51" i="3"/>
  <c r="CD14" i="3"/>
  <c r="CD50" i="3"/>
  <c r="BV14" i="3"/>
  <c r="BV50" i="3"/>
  <c r="BY7" i="3"/>
  <c r="BY47" i="3"/>
  <c r="BQ47" i="3"/>
  <c r="BI58" i="3"/>
  <c r="BE58" i="3"/>
  <c r="BS53" i="3"/>
  <c r="B29" i="3" s="1"/>
  <c r="CH53" i="3"/>
  <c r="CR54" i="3"/>
  <c r="CK55" i="3"/>
  <c r="BY55" i="3"/>
  <c r="BP52" i="3"/>
  <c r="BL52" i="3"/>
  <c r="BH52" i="3"/>
  <c r="BD52" i="3"/>
  <c r="BR52" i="3"/>
  <c r="BN52" i="3"/>
  <c r="BJ52" i="3"/>
  <c r="BF52" i="3"/>
  <c r="BZ50" i="3"/>
  <c r="CP52" i="3"/>
  <c r="CH52" i="3"/>
  <c r="BZ52" i="3"/>
  <c r="BV52" i="3"/>
  <c r="CR53" i="3"/>
  <c r="CJ53" i="3"/>
  <c r="CF53" i="3"/>
  <c r="CB53" i="3"/>
  <c r="CD54" i="3"/>
  <c r="BZ54" i="3"/>
  <c r="BP54" i="3"/>
  <c r="BO52" i="3"/>
  <c r="BK52" i="3"/>
  <c r="BG52" i="3"/>
  <c r="BQ52" i="3"/>
  <c r="BM52" i="3"/>
  <c r="BI52" i="3"/>
  <c r="BE52" i="3"/>
  <c r="BS52" i="3"/>
  <c r="B28" i="3" s="1"/>
  <c r="BS54" i="3"/>
  <c r="B30" i="3" s="1"/>
  <c r="AV13" i="3"/>
  <c r="AW19" i="3"/>
  <c r="AV11" i="3"/>
  <c r="AU27" i="3"/>
  <c r="AW27" i="3" s="1"/>
  <c r="AW9" i="3"/>
  <c r="CK59" i="3"/>
  <c r="BQ58" i="3"/>
  <c r="CH47" i="3"/>
  <c r="BM60" i="3"/>
  <c r="BG48" i="3"/>
  <c r="BX58" i="3"/>
  <c r="BP58" i="3"/>
  <c r="CR49" i="3"/>
  <c r="CN59" i="3"/>
  <c r="CL61" i="3"/>
  <c r="CH50" i="3"/>
  <c r="AW16" i="3"/>
  <c r="BX47" i="3"/>
  <c r="BZ48" i="3"/>
  <c r="CG48" i="3"/>
  <c r="BY49" i="3"/>
  <c r="CC48" i="3"/>
  <c r="BK53" i="3"/>
  <c r="BJ61" i="3"/>
  <c r="CQ61" i="3"/>
  <c r="BH60" i="3"/>
  <c r="CE48" i="3"/>
  <c r="BJ48" i="3"/>
  <c r="BF48" i="3"/>
  <c r="CD48" i="3"/>
  <c r="BQ60" i="3"/>
  <c r="CK49" i="3"/>
  <c r="BM49" i="3"/>
  <c r="BS50" i="3"/>
  <c r="B26" i="3" s="1"/>
  <c r="CE60" i="3"/>
  <c r="AV9" i="3"/>
  <c r="CO48" i="3"/>
  <c r="BX7" i="3"/>
  <c r="CK48" i="3"/>
  <c r="BU14" i="3"/>
  <c r="BL60" i="3"/>
  <c r="CK11" i="3"/>
  <c r="BI54" i="3"/>
  <c r="CQ19" i="3"/>
  <c r="BM53" i="3"/>
  <c r="BO50" i="3"/>
  <c r="BV49" i="3"/>
  <c r="BO59" i="3"/>
  <c r="BX48" i="3"/>
  <c r="BP48" i="3"/>
  <c r="BH48" i="3"/>
  <c r="BZ21" i="3"/>
  <c r="BY19" i="3"/>
  <c r="BF61" i="3"/>
  <c r="CM59" i="3"/>
  <c r="CM49" i="3"/>
  <c r="CM11" i="3"/>
  <c r="CK60" i="3"/>
  <c r="BZ49" i="3"/>
  <c r="CQ21" i="3"/>
  <c r="CD20" i="3"/>
  <c r="BJ53" i="3"/>
  <c r="BF53" i="3"/>
  <c r="CF19" i="3"/>
  <c r="BT15" i="3"/>
  <c r="BT60" i="3"/>
  <c r="BZ11" i="3"/>
  <c r="BZ59" i="3"/>
  <c r="BV11" i="3"/>
  <c r="BV59" i="3"/>
  <c r="BR49" i="3"/>
  <c r="BN49" i="3"/>
  <c r="BV8" i="3"/>
  <c r="BV58" i="3"/>
  <c r="CQ7" i="3"/>
  <c r="CQ47" i="3"/>
  <c r="CC7" i="3"/>
  <c r="CC58" i="3"/>
  <c r="CC47" i="3"/>
  <c r="BU7" i="3"/>
  <c r="BU58" i="3"/>
  <c r="BU47" i="3"/>
  <c r="CK15" i="3"/>
  <c r="CL43" i="3"/>
  <c r="CL23" i="3" s="1"/>
  <c r="CP50" i="3"/>
  <c r="BX21" i="3"/>
  <c r="CA15" i="3"/>
  <c r="BW15" i="3"/>
  <c r="BW60" i="3"/>
  <c r="BS15" i="3"/>
  <c r="CR14" i="3"/>
  <c r="CR60" i="3"/>
  <c r="CG11" i="3"/>
  <c r="CG49" i="3"/>
  <c r="CC11" i="3"/>
  <c r="CC49" i="3"/>
  <c r="AV17" i="3"/>
  <c r="AW17" i="3"/>
  <c r="BV19" i="3"/>
  <c r="CC18" i="3"/>
  <c r="CC61" i="3"/>
  <c r="CO15" i="3"/>
  <c r="BT13" i="3"/>
  <c r="BT50" i="3"/>
  <c r="CQ11" i="3"/>
  <c r="CQ49" i="3"/>
  <c r="BS11" i="3"/>
  <c r="BS49" i="3"/>
  <c r="B25" i="3" s="1"/>
  <c r="BS43" i="3"/>
  <c r="BS23" i="3"/>
  <c r="CC15" i="3"/>
  <c r="BW49" i="3"/>
  <c r="CL13" i="3"/>
  <c r="CE50" i="3"/>
  <c r="CA21" i="3"/>
  <c r="BO54" i="3"/>
  <c r="BZ15" i="3"/>
  <c r="BZ60" i="3"/>
  <c r="CG60" i="3"/>
  <c r="CG50" i="3"/>
  <c r="CC60" i="3"/>
  <c r="BJ60" i="3"/>
  <c r="BJ50" i="3"/>
  <c r="CI13" i="3"/>
  <c r="BQ50" i="3"/>
  <c r="BM50" i="3"/>
  <c r="BI50" i="3"/>
  <c r="BE43" i="3"/>
  <c r="BE50" i="3"/>
  <c r="BO49" i="3"/>
  <c r="CN11" i="3"/>
  <c r="CN49" i="3"/>
  <c r="CF11" i="3"/>
  <c r="CF49" i="3"/>
  <c r="CG10" i="3"/>
  <c r="CG59" i="3"/>
  <c r="CC10" i="3"/>
  <c r="CC59" i="3"/>
  <c r="CL15" i="3"/>
  <c r="BK49" i="3"/>
  <c r="BG49" i="3"/>
  <c r="BL59" i="3"/>
  <c r="CB48" i="3"/>
  <c r="AW8" i="3"/>
  <c r="CB58" i="3"/>
  <c r="BU48" i="3"/>
  <c r="BT48" i="3"/>
  <c r="BN54" i="3"/>
  <c r="BF54" i="3"/>
  <c r="BL53" i="3"/>
  <c r="BD53" i="3"/>
  <c r="CP61" i="3"/>
  <c r="BO60" i="3"/>
  <c r="BG60" i="3"/>
  <c r="BF51" i="3"/>
  <c r="BQ59" i="3"/>
  <c r="BJ43" i="3"/>
  <c r="BF49" i="3"/>
  <c r="CQ48" i="3"/>
  <c r="CD47" i="3"/>
  <c r="BT47" i="3"/>
  <c r="BP47" i="3"/>
  <c r="BL58" i="3"/>
  <c r="BH47" i="3"/>
  <c r="BD47" i="3"/>
  <c r="BG58" i="3"/>
  <c r="BT59" i="3"/>
  <c r="AW12" i="3"/>
  <c r="BH59" i="3"/>
  <c r="CF48" i="3"/>
  <c r="BH54" i="3"/>
  <c r="BD54" i="3"/>
  <c r="BM61" i="3"/>
  <c r="CH43" i="3"/>
  <c r="CH23" i="3" s="1"/>
  <c r="BO61" i="3"/>
  <c r="CK61" i="3"/>
  <c r="BP59" i="3"/>
  <c r="BL49" i="3"/>
  <c r="BH49" i="3"/>
  <c r="CE49" i="3"/>
  <c r="BX49" i="3"/>
  <c r="AX21" i="3"/>
  <c r="AX18" i="3"/>
  <c r="AU26" i="3"/>
  <c r="AW26" i="3"/>
  <c r="CO17" i="3"/>
  <c r="CF13" i="3"/>
  <c r="CF50" i="3"/>
  <c r="CG47" i="3"/>
  <c r="CI48" i="3"/>
  <c r="BE59" i="3"/>
  <c r="CA61" i="3"/>
  <c r="AW18" i="3"/>
  <c r="AV18" i="3"/>
  <c r="BU49" i="3"/>
  <c r="CQ50" i="3"/>
  <c r="CE59" i="3"/>
  <c r="CR47" i="3"/>
  <c r="BY14" i="3"/>
  <c r="BK61" i="3"/>
  <c r="CN21" i="3"/>
  <c r="BT21" i="3"/>
  <c r="BY17" i="3"/>
  <c r="CO60" i="3"/>
  <c r="CB14" i="3"/>
  <c r="CB50" i="3"/>
  <c r="CL49" i="3"/>
  <c r="BT49" i="3"/>
  <c r="CH59" i="3"/>
  <c r="BO48" i="3"/>
  <c r="BK58" i="3"/>
  <c r="BU43" i="3"/>
  <c r="BU23" i="3"/>
  <c r="BP49" i="3"/>
  <c r="CO61" i="3"/>
  <c r="CB59" i="3"/>
  <c r="CH58" i="3"/>
  <c r="BI59" i="3"/>
  <c r="CF60" i="3"/>
  <c r="CE61" i="3"/>
  <c r="CI49" i="3"/>
  <c r="AW21" i="3"/>
  <c r="AW22" i="3"/>
  <c r="AX20" i="3"/>
  <c r="AV22" i="3"/>
  <c r="AX17" i="3"/>
  <c r="AX8" i="3"/>
  <c r="AX7" i="3"/>
  <c r="AX6" i="3"/>
  <c r="BG51" i="3"/>
  <c r="CM47" i="3"/>
  <c r="BV48" i="3"/>
  <c r="CL48" i="3"/>
  <c r="BM59" i="3"/>
  <c r="BT11" i="3"/>
  <c r="BS59" i="3"/>
  <c r="CG14" i="3"/>
  <c r="BD51" i="3"/>
  <c r="BI61" i="3"/>
  <c r="BQ54" i="3"/>
  <c r="BM54" i="3"/>
  <c r="CB43" i="3"/>
  <c r="CB23" i="3" s="1"/>
  <c r="BR51" i="3"/>
  <c r="BZ43" i="3"/>
  <c r="BZ23" i="3" s="1"/>
  <c r="BV12" i="3"/>
  <c r="BN59" i="3"/>
  <c r="BK59" i="3"/>
  <c r="BV7" i="3"/>
  <c r="BV47" i="3"/>
  <c r="CH19" i="3"/>
  <c r="CK17" i="3"/>
  <c r="BE61" i="3"/>
  <c r="CM13" i="3"/>
  <c r="CM50" i="3"/>
  <c r="CP11" i="3"/>
  <c r="CP49" i="3"/>
  <c r="CP59" i="3"/>
  <c r="CQ10" i="3"/>
  <c r="CQ59" i="3"/>
  <c r="CE9" i="3"/>
  <c r="CE58" i="3"/>
  <c r="CI43" i="3"/>
  <c r="CI23" i="3"/>
  <c r="CP43" i="3"/>
  <c r="CP23" i="3"/>
  <c r="BS48" i="3"/>
  <c r="B24" i="3" s="1"/>
  <c r="BX59" i="3"/>
  <c r="BZ58" i="3"/>
  <c r="AX12" i="3"/>
  <c r="AX13" i="3"/>
  <c r="CG58" i="3"/>
  <c r="BJ49" i="3"/>
  <c r="BZ47" i="3"/>
  <c r="BG43" i="3"/>
  <c r="CK43" i="3"/>
  <c r="CK23" i="3" s="1"/>
  <c r="BY61" i="3"/>
  <c r="CD21" i="3"/>
  <c r="CA48" i="3"/>
  <c r="CB49" i="3"/>
  <c r="CF59" i="3"/>
  <c r="BS60" i="3"/>
  <c r="CM60" i="3"/>
  <c r="CN60" i="3"/>
  <c r="AX22" i="3"/>
  <c r="AX16" i="3"/>
  <c r="BT58" i="3"/>
  <c r="BL47" i="3"/>
  <c r="BW58" i="3"/>
  <c r="CA59" i="3"/>
  <c r="CF61" i="3"/>
  <c r="CJ61" i="3"/>
  <c r="CH49" i="3"/>
  <c r="BE54" i="3"/>
  <c r="CP17" i="3"/>
  <c r="CL17" i="3"/>
  <c r="CD17" i="3"/>
  <c r="BU17" i="3"/>
  <c r="CP15" i="3"/>
  <c r="CP60" i="3"/>
  <c r="CN10" i="3"/>
  <c r="CN48" i="3"/>
  <c r="BX10" i="3"/>
  <c r="BP43" i="3"/>
  <c r="BL48" i="3"/>
  <c r="BT8" i="3"/>
  <c r="BQ43" i="3"/>
  <c r="BM43" i="3"/>
  <c r="CP7" i="3"/>
  <c r="CP47" i="3"/>
  <c r="CL7" i="3"/>
  <c r="CL47" i="3"/>
  <c r="BL54" i="3"/>
  <c r="BO53" i="3"/>
  <c r="BG53" i="3"/>
  <c r="BN51" i="3"/>
  <c r="BJ51" i="3"/>
  <c r="BG50" i="3"/>
  <c r="BI49" i="3"/>
  <c r="BJ58" i="3"/>
  <c r="BM47" i="3"/>
  <c r="BI47" i="3"/>
  <c r="BE47" i="3"/>
  <c r="BK54" i="3"/>
  <c r="BG54" i="3"/>
  <c r="BP61" i="3"/>
  <c r="BI51" i="3"/>
  <c r="BK60" i="3"/>
  <c r="BQ49" i="3"/>
  <c r="BR47" i="3"/>
  <c r="BN47" i="3"/>
  <c r="BF47" i="3"/>
  <c r="AX15" i="3"/>
  <c r="AX11" i="3"/>
  <c r="CE22" i="3"/>
  <c r="CG20" i="3"/>
  <c r="CG61" i="3"/>
  <c r="CE17" i="3"/>
  <c r="CE43" i="3"/>
  <c r="CE23" i="3" s="1"/>
  <c r="CQ16" i="3"/>
  <c r="CQ60" i="3"/>
  <c r="CM15" i="3"/>
  <c r="BY60" i="3"/>
  <c r="BY15" i="3"/>
  <c r="BU13" i="3"/>
  <c r="BU59" i="3"/>
  <c r="CM9" i="3"/>
  <c r="CM43" i="3"/>
  <c r="CM23" i="3"/>
  <c r="CM58" i="3"/>
  <c r="CJ47" i="3"/>
  <c r="CJ8" i="3"/>
  <c r="CJ58" i="3"/>
  <c r="CJ43" i="3"/>
  <c r="CJ23" i="3" s="1"/>
  <c r="CA8" i="3"/>
  <c r="CA58" i="3"/>
  <c r="CF7" i="3"/>
  <c r="CF58" i="3"/>
  <c r="BO47" i="3"/>
  <c r="BO58" i="3"/>
  <c r="BO43" i="3"/>
  <c r="BS47" i="3"/>
  <c r="B23" i="3" s="1"/>
  <c r="BK47" i="3"/>
  <c r="CP22" i="3"/>
  <c r="CF21" i="3"/>
  <c r="BW21" i="3"/>
  <c r="BS61" i="3"/>
  <c r="CI20" i="3"/>
  <c r="CI61" i="3"/>
  <c r="CH17" i="3"/>
  <c r="CH61" i="3"/>
  <c r="BX14" i="3"/>
  <c r="BX50" i="3"/>
  <c r="CC13" i="3"/>
  <c r="CC43" i="3"/>
  <c r="CC23" i="3" s="1"/>
  <c r="CC50" i="3"/>
  <c r="CO11" i="3"/>
  <c r="CO59" i="3"/>
  <c r="BR59" i="3"/>
  <c r="BR43" i="3"/>
  <c r="BR48" i="3"/>
  <c r="CR9" i="3"/>
  <c r="CR43" i="3"/>
  <c r="CR23" i="3"/>
  <c r="CR48" i="3"/>
  <c r="CR58" i="3"/>
  <c r="CO8" i="3"/>
  <c r="CO43" i="3"/>
  <c r="CO23" i="3"/>
  <c r="CO58" i="3"/>
  <c r="CO47" i="3"/>
  <c r="BK43" i="3"/>
  <c r="CA43" i="3"/>
  <c r="CA23" i="3"/>
  <c r="CQ43" i="3"/>
  <c r="CQ23" i="3"/>
  <c r="CF43" i="3"/>
  <c r="CF23" i="3"/>
  <c r="CM48" i="3"/>
  <c r="CD61" i="3"/>
  <c r="BX60" i="3"/>
  <c r="BS58" i="3"/>
  <c r="CF47" i="3"/>
  <c r="BI43" i="3"/>
  <c r="BI60" i="3"/>
  <c r="BU50" i="3"/>
  <c r="CI58" i="3"/>
  <c r="BS21" i="3"/>
  <c r="BN60" i="3"/>
  <c r="CB21" i="3"/>
  <c r="BY21" i="3"/>
  <c r="BV61" i="3"/>
  <c r="BV21" i="3"/>
  <c r="CP19" i="3"/>
  <c r="BU19" i="3"/>
  <c r="BU61" i="3"/>
  <c r="BR53" i="3"/>
  <c r="BR61" i="3"/>
  <c r="BN53" i="3"/>
  <c r="BN61" i="3"/>
  <c r="CN17" i="3"/>
  <c r="CN61" i="3"/>
  <c r="CN43" i="3"/>
  <c r="CN23" i="3"/>
  <c r="CA14" i="3"/>
  <c r="CA50" i="3"/>
  <c r="CA60" i="3"/>
  <c r="CD16" i="3"/>
  <c r="CD60" i="3"/>
  <c r="BX16" i="3"/>
  <c r="CB15" i="3"/>
  <c r="BV15" i="3"/>
  <c r="BV43" i="3"/>
  <c r="BV23" i="3"/>
  <c r="BV60" i="3"/>
  <c r="BR60" i="3"/>
  <c r="BR50" i="3"/>
  <c r="BF60" i="3"/>
  <c r="BF43" i="3"/>
  <c r="CD8" i="3"/>
  <c r="CD58" i="3"/>
  <c r="CD43" i="3"/>
  <c r="CD23" i="3" s="1"/>
  <c r="AV10" i="3"/>
  <c r="AX10" i="3"/>
  <c r="BX43" i="3"/>
  <c r="BX23" i="3" s="1"/>
  <c r="CB60" i="3"/>
  <c r="BN43" i="3"/>
  <c r="BX61" i="3"/>
  <c r="CI47" i="3"/>
  <c r="BF50" i="3"/>
  <c r="CB20" i="3"/>
  <c r="CR61" i="3"/>
  <c r="CJ19" i="3"/>
  <c r="CC19" i="3"/>
  <c r="BW19" i="3"/>
  <c r="BW61" i="3"/>
  <c r="BQ53" i="3"/>
  <c r="BQ61" i="3"/>
  <c r="CB18" i="3"/>
  <c r="CB61" i="3"/>
  <c r="BT18" i="3"/>
  <c r="BT61" i="3"/>
  <c r="BL43" i="3"/>
  <c r="BL61" i="3"/>
  <c r="BH61" i="3"/>
  <c r="BD61" i="3"/>
  <c r="CM17" i="3"/>
  <c r="CM61" i="3"/>
  <c r="CL16" i="3"/>
  <c r="CL60" i="3"/>
  <c r="BP51" i="3"/>
  <c r="BP60" i="3"/>
  <c r="CJ15" i="3"/>
  <c r="CJ60" i="3"/>
  <c r="CG43" i="3"/>
  <c r="CG23" i="3"/>
  <c r="CG15" i="3"/>
  <c r="CD12" i="3"/>
  <c r="CD59" i="3"/>
  <c r="CD49" i="3"/>
  <c r="BW43" i="3"/>
  <c r="BW23" i="3"/>
  <c r="BH43" i="3"/>
  <c r="BD49" i="3"/>
  <c r="BD59" i="3"/>
  <c r="CI10" i="3"/>
  <c r="CI59" i="3"/>
  <c r="BY10" i="3"/>
  <c r="BY59" i="3"/>
  <c r="BY43" i="3"/>
  <c r="BY23" i="3"/>
  <c r="BY48" i="3"/>
  <c r="CJ48" i="3"/>
  <c r="CJ9" i="3"/>
  <c r="BM48" i="3"/>
  <c r="BM58" i="3"/>
  <c r="CK47" i="3"/>
  <c r="CR59" i="3"/>
  <c r="BT43" i="3"/>
  <c r="BT23" i="3"/>
  <c r="CK58" i="3"/>
  <c r="BG59" i="3"/>
  <c r="CR22" i="3"/>
  <c r="BZ20" i="3"/>
  <c r="CL19" i="3"/>
  <c r="BE53" i="3"/>
  <c r="BQ51" i="3"/>
  <c r="BM51" i="3"/>
  <c r="CJ14" i="3"/>
  <c r="CJ50" i="3"/>
  <c r="CC14" i="3"/>
  <c r="BK50" i="3"/>
  <c r="BY8" i="3"/>
  <c r="BY58" i="3"/>
  <c r="CH48" i="3"/>
  <c r="CL59" i="3"/>
  <c r="CH10" i="3"/>
  <c r="BG61" i="3"/>
  <c r="CH15" i="3"/>
  <c r="CH60" i="3"/>
  <c r="CD15" i="3"/>
  <c r="BE51" i="3"/>
  <c r="BE60" i="3"/>
  <c r="BW10" i="3"/>
  <c r="BW59" i="3"/>
  <c r="BD48" i="3"/>
  <c r="BD58" i="3"/>
  <c r="CA7" i="3"/>
  <c r="CA47" i="3"/>
  <c r="BI53" i="3"/>
  <c r="BJ59" i="3"/>
  <c r="BF59" i="3"/>
  <c r="BF58" i="3"/>
  <c r="BK48" i="3"/>
  <c r="BD43" i="3"/>
  <c r="AV26" i="3"/>
  <c r="D25" i="3"/>
  <c r="E25" i="3" s="1"/>
  <c r="AV27" i="3"/>
  <c r="F25" i="3"/>
  <c r="B32" i="3" l="1"/>
  <c r="FA43" i="1"/>
  <c r="GG43" i="1"/>
  <c r="C23" i="3"/>
  <c r="C28" i="3"/>
  <c r="D28" i="3" s="1"/>
  <c r="E28" i="3" s="1"/>
  <c r="C24" i="3"/>
  <c r="D24" i="3" s="1"/>
  <c r="E24" i="3" s="1"/>
  <c r="X808" i="5"/>
  <c r="FI43" i="1"/>
  <c r="C31" i="3"/>
  <c r="D31" i="3" s="1"/>
  <c r="E31" i="3" s="1"/>
  <c r="C27" i="3"/>
  <c r="D27" i="3" s="1"/>
  <c r="E27" i="3" s="1"/>
  <c r="C30" i="3"/>
  <c r="D30" i="3" s="1"/>
  <c r="F30" i="3" s="1"/>
  <c r="C26" i="3"/>
  <c r="D26" i="3" s="1"/>
  <c r="E26" i="3" s="1"/>
  <c r="EY43" i="1"/>
  <c r="N20" i="1"/>
  <c r="C29" i="3"/>
  <c r="D29" i="3" s="1"/>
  <c r="FL43" i="1"/>
  <c r="N18" i="1"/>
  <c r="M5" i="1"/>
  <c r="N9" i="1"/>
  <c r="FG43" i="1"/>
  <c r="FC43" i="1"/>
  <c r="FT43" i="1"/>
  <c r="N12" i="1"/>
  <c r="N29" i="1"/>
  <c r="FE43" i="1"/>
  <c r="GF43" i="1"/>
  <c r="N32" i="1"/>
  <c r="N11" i="1"/>
  <c r="FV43" i="1"/>
  <c r="GE43" i="1"/>
  <c r="N17" i="1"/>
  <c r="FF43" i="1"/>
  <c r="N15" i="1"/>
  <c r="N16" i="1"/>
  <c r="N30" i="1"/>
  <c r="GB43" i="1"/>
  <c r="GD43" i="1"/>
  <c r="GI43" i="1"/>
  <c r="GA43" i="1"/>
  <c r="FB43" i="1"/>
  <c r="N19" i="1"/>
  <c r="FM43" i="1"/>
  <c r="N28" i="1"/>
  <c r="FJ43" i="1"/>
  <c r="N23" i="1"/>
  <c r="N24" i="1"/>
  <c r="GJ43" i="1"/>
  <c r="FZ43" i="1"/>
  <c r="N31" i="1"/>
  <c r="N7" i="1"/>
  <c r="EV43" i="1"/>
  <c r="FH43" i="1"/>
  <c r="FR43" i="1"/>
  <c r="N27" i="1"/>
  <c r="EZ43" i="1"/>
  <c r="GC43" i="1"/>
  <c r="EW43" i="1"/>
  <c r="N21" i="1"/>
  <c r="N22" i="1"/>
  <c r="N10" i="1"/>
  <c r="N8" i="1"/>
  <c r="FD43" i="1"/>
  <c r="FO43" i="1"/>
  <c r="FQ43" i="1"/>
  <c r="FP43" i="1"/>
  <c r="FX43" i="1"/>
  <c r="FW43" i="1"/>
  <c r="FY43" i="1"/>
  <c r="N14" i="1"/>
  <c r="N26" i="1"/>
  <c r="EX43" i="1"/>
  <c r="FS43" i="1"/>
  <c r="FU43" i="1"/>
  <c r="FN43" i="1"/>
  <c r="A6" i="1"/>
  <c r="N25" i="1"/>
  <c r="GH43" i="1"/>
  <c r="F26" i="3"/>
  <c r="F24" i="3"/>
  <c r="F28" i="3"/>
  <c r="E30" i="3"/>
  <c r="F31" i="3"/>
  <c r="F27" i="3"/>
  <c r="D23" i="3" l="1"/>
  <c r="C32" i="3"/>
  <c r="D32" i="3" s="1"/>
  <c r="E29" i="3"/>
  <c r="F29" i="3"/>
  <c r="P21" i="1"/>
  <c r="O21" i="1"/>
  <c r="P32" i="1"/>
  <c r="O29" i="1"/>
  <c r="P9" i="1"/>
  <c r="P18" i="1"/>
  <c r="P16" i="1"/>
  <c r="O16" i="1"/>
  <c r="P20" i="1"/>
  <c r="O12" i="1"/>
  <c r="O9" i="1"/>
  <c r="O14" i="1"/>
  <c r="P14" i="1"/>
  <c r="P8" i="1"/>
  <c r="O8" i="1"/>
  <c r="O31" i="1"/>
  <c r="P31" i="1"/>
  <c r="P23" i="1"/>
  <c r="O23" i="1"/>
  <c r="O19" i="1"/>
  <c r="P19" i="1"/>
  <c r="O15" i="1"/>
  <c r="P15" i="1"/>
  <c r="P13" i="1"/>
  <c r="O13" i="1"/>
  <c r="O25" i="1"/>
  <c r="P25" i="1"/>
  <c r="P10" i="1"/>
  <c r="O10" i="1"/>
  <c r="O32" i="1"/>
  <c r="O18" i="1"/>
  <c r="P26" i="1"/>
  <c r="O26" i="1"/>
  <c r="P27" i="1"/>
  <c r="O27" i="1"/>
  <c r="P24" i="1"/>
  <c r="O24" i="1"/>
  <c r="P12" i="1"/>
  <c r="O22" i="1"/>
  <c r="P22" i="1"/>
  <c r="O28" i="1"/>
  <c r="P28" i="1"/>
  <c r="O30" i="1"/>
  <c r="P30" i="1"/>
  <c r="O17" i="1"/>
  <c r="P17" i="1"/>
  <c r="P11" i="1"/>
  <c r="O11" i="1"/>
  <c r="P29" i="1"/>
  <c r="O20" i="1"/>
  <c r="E32" i="3" l="1"/>
  <c r="F32" i="3"/>
  <c r="F23" i="3"/>
  <c r="E23" i="3"/>
</calcChain>
</file>

<file path=xl/sharedStrings.xml><?xml version="1.0" encoding="utf-8"?>
<sst xmlns="http://schemas.openxmlformats.org/spreadsheetml/2006/main" count="339" uniqueCount="180">
  <si>
    <t>Extract from table 401: Household projections, mid-2001 to mid-2041</t>
  </si>
  <si>
    <t>Select Area</t>
  </si>
  <si>
    <t>England, West Midlands Region and County, local authorities in the West Midlands region</t>
  </si>
  <si>
    <t>Thousands</t>
  </si>
  <si>
    <t>2016 to 2041 Household Projections (thousands)</t>
  </si>
  <si>
    <t xml:space="preserve">households </t>
  </si>
  <si>
    <t>projected change from 2016</t>
  </si>
  <si>
    <t>number</t>
  </si>
  <si>
    <t>percent</t>
  </si>
  <si>
    <t>Area code</t>
  </si>
  <si>
    <t>Area name</t>
  </si>
  <si>
    <t>-</t>
  </si>
  <si>
    <t>E92000001</t>
  </si>
  <si>
    <t>England</t>
  </si>
  <si>
    <t>E12000005</t>
  </si>
  <si>
    <t>West Midlands</t>
  </si>
  <si>
    <t>E11000005</t>
  </si>
  <si>
    <t>West Midlands (Met County)</t>
  </si>
  <si>
    <t>E08000025</t>
  </si>
  <si>
    <t>Birmingham</t>
  </si>
  <si>
    <t>E07000234</t>
  </si>
  <si>
    <t>Bromsgrove</t>
  </si>
  <si>
    <t>E07000192</t>
  </si>
  <si>
    <t>Cannock Chase</t>
  </si>
  <si>
    <t>E08000026</t>
  </si>
  <si>
    <t>Coventry</t>
  </si>
  <si>
    <t>E08000027</t>
  </si>
  <si>
    <t>Dudley</t>
  </si>
  <si>
    <t>E07000193</t>
  </si>
  <si>
    <t>East Staffordshire</t>
  </si>
  <si>
    <t>E06000019</t>
  </si>
  <si>
    <t>Herefordshire, County of</t>
  </si>
  <si>
    <t>E07000194</t>
  </si>
  <si>
    <t>Lichfield</t>
  </si>
  <si>
    <t>E07000235</t>
  </si>
  <si>
    <t>Malvern Hills</t>
  </si>
  <si>
    <t>E07000195</t>
  </si>
  <si>
    <t>Newcastle-under-Lyme</t>
  </si>
  <si>
    <t>E07000218</t>
  </si>
  <si>
    <t>North Warwickshire</t>
  </si>
  <si>
    <t>E07000219</t>
  </si>
  <si>
    <t>Nuneaton and Bedworth</t>
  </si>
  <si>
    <t>E07000236</t>
  </si>
  <si>
    <t>Redditch</t>
  </si>
  <si>
    <t>E07000220</t>
  </si>
  <si>
    <t>Rugby</t>
  </si>
  <si>
    <t>E08000028</t>
  </si>
  <si>
    <t>Sandwell</t>
  </si>
  <si>
    <t>E06000051</t>
  </si>
  <si>
    <t>Shropshire</t>
  </si>
  <si>
    <t>E08000029</t>
  </si>
  <si>
    <t>Solihull</t>
  </si>
  <si>
    <t>E07000196</t>
  </si>
  <si>
    <t>South Staffordshire</t>
  </si>
  <si>
    <t>E07000197</t>
  </si>
  <si>
    <t>Stafford</t>
  </si>
  <si>
    <t>E07000198</t>
  </si>
  <si>
    <t>Staffordshire Moorlands</t>
  </si>
  <si>
    <t>Source: Office for National Statistics, Crown Copyright 2018.</t>
  </si>
  <si>
    <t>E06000021</t>
  </si>
  <si>
    <t>Stoke-on-Trent</t>
  </si>
  <si>
    <t>Transportation &amp; Connectivity, Economy Directorate, www.birmingham.gov.uk/census, brenda.henry@birmingham.gov.uk, 0121 303 4208</t>
  </si>
  <si>
    <t>E07000221</t>
  </si>
  <si>
    <t>Stratford-on-Avon</t>
  </si>
  <si>
    <t>E07000199</t>
  </si>
  <si>
    <t>Tamworth</t>
  </si>
  <si>
    <t>E06000020</t>
  </si>
  <si>
    <t>Telford and Wrekin</t>
  </si>
  <si>
    <t>E08000030</t>
  </si>
  <si>
    <t>Walsall</t>
  </si>
  <si>
    <t>E07000222</t>
  </si>
  <si>
    <t>Warwick</t>
  </si>
  <si>
    <t>E08000031</t>
  </si>
  <si>
    <t>Wolverhampton</t>
  </si>
  <si>
    <t>E07000237</t>
  </si>
  <si>
    <t>Worcester</t>
  </si>
  <si>
    <t>E07000238</t>
  </si>
  <si>
    <t>Wychavon</t>
  </si>
  <si>
    <t>E07000239</t>
  </si>
  <si>
    <t>Wyre Forest</t>
  </si>
  <si>
    <t>link cell</t>
  </si>
  <si>
    <t>Area Name</t>
  </si>
  <si>
    <t>E10000028</t>
  </si>
  <si>
    <t>Staffordshire</t>
  </si>
  <si>
    <t>E10000031</t>
  </si>
  <si>
    <t>Warwickshire</t>
  </si>
  <si>
    <t>E10000034</t>
  </si>
  <si>
    <t>Worcestershire</t>
  </si>
  <si>
    <t>Year</t>
  </si>
  <si>
    <t>2016-base</t>
  </si>
  <si>
    <t>2014-base</t>
  </si>
  <si>
    <t>2012-base</t>
  </si>
  <si>
    <t>2011-base</t>
  </si>
  <si>
    <t>2008-base</t>
  </si>
  <si>
    <t>2006 base</t>
  </si>
  <si>
    <t>Birmingham household projections-2016,2014 and 2012</t>
  </si>
  <si>
    <t>2016-based Household projections</t>
  </si>
  <si>
    <t>Persons</t>
  </si>
  <si>
    <t>AGE GROUP</t>
  </si>
  <si>
    <t>SEX</t>
  </si>
  <si>
    <t>16-19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</si>
  <si>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</si>
  <si>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</si>
  <si>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</si>
  <si>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</si>
  <si>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</si>
  <si>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</si>
  <si>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</si>
  <si>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</si>
  <si>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</si>
  <si>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</si>
  <si>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</si>
  <si>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</si>
  <si>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</si>
  <si>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</si>
  <si>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</si>
  <si>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under 25</t>
  </si>
  <si>
    <t>25-34</t>
  </si>
  <si>
    <t>35-44</t>
  </si>
  <si>
    <t>45-54</t>
  </si>
  <si>
    <t>65-74</t>
  </si>
  <si>
    <t>75-84</t>
  </si>
  <si>
    <t>85+</t>
  </si>
  <si>
    <t>option 2</t>
  </si>
  <si>
    <t>under 30</t>
  </si>
  <si>
    <t>30-49</t>
  </si>
  <si>
    <t>50-64</t>
  </si>
  <si>
    <t>65+</t>
  </si>
  <si>
    <t>Male</t>
  </si>
  <si>
    <t>Female</t>
  </si>
  <si>
    <t>Source: ONS, Crown Copyright 2018</t>
  </si>
  <si>
    <t>All</t>
  </si>
  <si>
    <t>Persons (thousands)</t>
  </si>
  <si>
    <t>mid-2001 to mid-2041</t>
  </si>
  <si>
    <t>2016-base household projections for Birmingham</t>
  </si>
  <si>
    <t xml:space="preserve">Households projections show the number of households that would be in Birmingham if recent demographic trends and household formation rates  continue.  </t>
  </si>
  <si>
    <t>The projections do not take account of policy changes that have not yet had an impact on observed trends.</t>
  </si>
  <si>
    <t>percent of total</t>
  </si>
  <si>
    <t>mid-2016</t>
  </si>
  <si>
    <t>total change</t>
  </si>
  <si>
    <t>annual average</t>
  </si>
  <si>
    <t>under 65</t>
  </si>
  <si>
    <t>Age</t>
  </si>
  <si>
    <t>annual average change</t>
  </si>
  <si>
    <t xml:space="preserve">total change </t>
  </si>
  <si>
    <t>Projection year</t>
  </si>
  <si>
    <t>source data</t>
  </si>
  <si>
    <t>unrounded</t>
  </si>
  <si>
    <t>ONS briefing ages</t>
  </si>
  <si>
    <t>% change 2016 to 2041</t>
  </si>
  <si>
    <t>combo box</t>
  </si>
  <si>
    <t>ALL</t>
  </si>
  <si>
    <t>Transportation &amp; Connectivity, Economy Directorate, www.birmingham.gov.uk/census,brenda.henry@birmingham.gov.uk, 0121 303 4208</t>
  </si>
  <si>
    <t>2016 Projected  Household number change - Birmingham</t>
  </si>
  <si>
    <t xml:space="preserve">The production of the Household projections has been transferred from the Ministry of Housing, Communities and Local Government to the Office for </t>
  </si>
  <si>
    <t>Household projections are produced by:</t>
  </si>
  <si>
    <t>Calculating the liklihood of anyone in a particular demographic group been a Household Representative Person.</t>
  </si>
  <si>
    <t>An adjustment is made to the population projections, removing those living in communal establishments.</t>
  </si>
  <si>
    <t>Age:</t>
  </si>
  <si>
    <t>LAs in WMR:</t>
  </si>
  <si>
    <t xml:space="preserve">This chart displays the household projection for each year 2016 to 2041 for Birmingham and you may also select other Districts in the </t>
  </si>
  <si>
    <t>West Midlands region.</t>
  </si>
  <si>
    <t>National Statistics.   It was thought that this transfer would improve consistencies between the production of the population and household projections</t>
  </si>
  <si>
    <t>The HRR is applied to the adjusted population projections age and sex breakdowns in order to produce an estimate of the number of households.</t>
  </si>
  <si>
    <t>as well increasing efficiency.  There have also been some changes in methodology since the transfer of responsibility.</t>
  </si>
  <si>
    <t>Content of work book</t>
  </si>
  <si>
    <t>is also a table showing the expected change in households by number and percentage.</t>
  </si>
  <si>
    <t>This displays a chart showing the change in household projections for Birmingham by age from 2016 to the year selected by you.  There</t>
  </si>
  <si>
    <t>Birmingham Compare:</t>
  </si>
  <si>
    <t>This chart shows a comparison of 2016 household projections, compared with 2014 and 2012 projections.</t>
  </si>
  <si>
    <t>j</t>
  </si>
  <si>
    <t>until 2041, an overall increase of 18.7% (78,000).</t>
  </si>
  <si>
    <t>The 2016 household projections are lower than previous projections.  However, Birmingham's households on average  are expected to grow by 3,100 each year</t>
  </si>
  <si>
    <t>This Household Representative Rate (HRR) are calculated using 2001 and 2011 Census. This is a change from the previous method where the 1991 Census was also used.</t>
  </si>
  <si>
    <t xml:space="preserve">To find out more about the method pages please see the ONS website. </t>
  </si>
  <si>
    <t>2011-2031</t>
  </si>
  <si>
    <t>average change</t>
  </si>
  <si>
    <t xml:space="preserve"> 2011 to 2031 Birmingham household projections</t>
  </si>
  <si>
    <t>This chart compares household projections between 2011 aand 2031 for 2012,2014 and 2016 bases.</t>
  </si>
  <si>
    <t>Birmingham Plan: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</si>
</sst>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DashDot">
        <color theme="1" tint="0.34998626667073579"/>
      </top>
      <bottom/>
      <diagonal/>
    </border>
    <border>
      <left/>
      <right/>
      <top style="mediumDashDot">
        <color theme="1" tint="0.34998626667073579"/>
      </top>
      <bottom/>
      <diagonal/>
    </border>
    <border>
      <left/>
      <right style="medium">
        <color theme="1" tint="0.34998626667073579"/>
      </right>
      <top style="mediumDashDot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DashDot">
        <color theme="1" tint="0.34998626667073579"/>
      </bottom>
      <diagonal/>
    </border>
    <border>
      <left/>
      <right/>
      <top/>
      <bottom style="mediumDashDot">
        <color theme="1" tint="0.34998626667073579"/>
      </bottom>
      <diagonal/>
    </border>
    <border>
      <left/>
      <right style="medium">
        <color theme="1" tint="0.34998626667073579"/>
      </right>
      <top/>
      <bottom style="mediumDashDot">
        <color theme="1" tint="0.34998626667073579"/>
      </bottom>
      <diagonal/>
    </border>
    <border>
      <left style="medium">
        <color theme="1" tint="0.34998626667073579"/>
      </left>
      <right/>
      <top/>
      <bottom style="mediumDashed">
        <color theme="1" tint="0.34998626667073579"/>
      </bottom>
      <diagonal/>
    </border>
    <border>
      <left/>
      <right/>
      <top/>
      <bottom style="mediumDashed">
        <color theme="1" tint="0.34998626667073579"/>
      </bottom>
      <diagonal/>
    </border>
    <border>
      <left/>
      <right style="medium">
        <color theme="1" tint="0.34998626667073579"/>
      </right>
      <top/>
      <bottom style="mediumDashed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mediumDashed">
        <color theme="1" tint="0.34998626667073579"/>
      </top>
      <bottom/>
      <diagonal/>
    </border>
    <border>
      <left/>
      <right/>
      <top style="mediumDashed">
        <color theme="1" tint="0.34998626667073579"/>
      </top>
      <bottom/>
      <diagonal/>
    </border>
    <border>
      <left/>
      <right style="medium">
        <color theme="1" tint="0.34998626667073579"/>
      </right>
      <top style="mediumDashed">
        <color theme="1" tint="0.34998626667073579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3" fillId="0" borderId="0"/>
  </cellStyleXfs>
  <cellXfs count="114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right" wrapText="1"/>
    </xf>
    <xf numFmtId="0" fontId="9" fillId="0" borderId="2" xfId="0" applyFont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0" fillId="0" borderId="4" xfId="0" applyBorder="1"/>
    <xf numFmtId="164" fontId="0" fillId="0" borderId="5" xfId="0" applyNumberFormat="1" applyBorder="1"/>
    <xf numFmtId="164" fontId="0" fillId="0" borderId="5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10" fillId="0" borderId="0" xfId="0" applyFont="1"/>
    <xf numFmtId="3" fontId="10" fillId="0" borderId="0" xfId="0" applyNumberFormat="1" applyFont="1"/>
    <xf numFmtId="164" fontId="0" fillId="0" borderId="6" xfId="0" applyNumberFormat="1" applyBorder="1"/>
    <xf numFmtId="3" fontId="7" fillId="0" borderId="0" xfId="0" applyNumberFormat="1" applyFont="1"/>
    <xf numFmtId="0" fontId="6" fillId="0" borderId="0" xfId="0" applyFont="1"/>
    <xf numFmtId="0" fontId="0" fillId="0" borderId="4" xfId="0" applyFont="1" applyBorder="1"/>
    <xf numFmtId="0" fontId="11" fillId="0" borderId="0" xfId="0" applyFont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0" fontId="10" fillId="2" borderId="0" xfId="0" applyFont="1" applyFill="1"/>
    <xf numFmtId="0" fontId="0" fillId="2" borderId="0" xfId="0" applyFill="1"/>
    <xf numFmtId="3" fontId="0" fillId="0" borderId="0" xfId="0" applyNumberFormat="1"/>
    <xf numFmtId="0" fontId="1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12" fillId="4" borderId="0" xfId="0" applyFont="1" applyFill="1" applyBorder="1" applyAlignment="1">
      <alignment horizontal="right"/>
    </xf>
    <xf numFmtId="0" fontId="1" fillId="3" borderId="0" xfId="0" applyFont="1" applyFill="1" applyBorder="1"/>
    <xf numFmtId="3" fontId="10" fillId="0" borderId="0" xfId="0" applyNumberFormat="1" applyFont="1" applyBorder="1"/>
    <xf numFmtId="3" fontId="1" fillId="3" borderId="0" xfId="0" applyNumberFormat="1" applyFont="1" applyFill="1" applyBorder="1"/>
    <xf numFmtId="3" fontId="12" fillId="4" borderId="0" xfId="0" applyNumberFormat="1" applyFont="1" applyFill="1" applyBorder="1"/>
    <xf numFmtId="1" fontId="0" fillId="0" borderId="0" xfId="0" applyNumberFormat="1"/>
    <xf numFmtId="3" fontId="3" fillId="0" borderId="0" xfId="5" applyNumberFormat="1" applyFont="1" applyFill="1" applyBorder="1"/>
    <xf numFmtId="0" fontId="3" fillId="0" borderId="0" xfId="4"/>
    <xf numFmtId="0" fontId="0" fillId="0" borderId="0" xfId="0" applyBorder="1"/>
    <xf numFmtId="0" fontId="0" fillId="0" borderId="0" xfId="0" applyFont="1" applyBorder="1"/>
    <xf numFmtId="0" fontId="0" fillId="0" borderId="0" xfId="0" applyFont="1"/>
    <xf numFmtId="0" fontId="6" fillId="0" borderId="0" xfId="0" applyNumberFormat="1" applyFont="1"/>
    <xf numFmtId="1" fontId="7" fillId="0" borderId="0" xfId="0" applyNumberFormat="1" applyFont="1"/>
    <xf numFmtId="0" fontId="13" fillId="0" borderId="0" xfId="0" applyFont="1" applyAlignment="1">
      <alignment horizontal="right"/>
    </xf>
    <xf numFmtId="0" fontId="14" fillId="0" borderId="0" xfId="0" applyFont="1"/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11" fillId="0" borderId="0" xfId="0" applyFont="1" applyAlignment="1">
      <alignment horizontal="right"/>
    </xf>
    <xf numFmtId="164" fontId="0" fillId="0" borderId="0" xfId="0" applyNumberFormat="1"/>
    <xf numFmtId="0" fontId="0" fillId="0" borderId="10" xfId="0" applyBorder="1"/>
    <xf numFmtId="164" fontId="0" fillId="0" borderId="10" xfId="0" applyNumberFormat="1" applyBorder="1"/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8" fillId="0" borderId="0" xfId="0" applyFont="1"/>
    <xf numFmtId="3" fontId="11" fillId="0" borderId="0" xfId="0" applyNumberFormat="1" applyFont="1"/>
    <xf numFmtId="9" fontId="0" fillId="0" borderId="0" xfId="0" applyNumberFormat="1"/>
    <xf numFmtId="0" fontId="19" fillId="0" borderId="0" xfId="0" applyFont="1"/>
    <xf numFmtId="0" fontId="20" fillId="0" borderId="0" xfId="0" applyFont="1" applyFill="1" applyBorder="1"/>
    <xf numFmtId="0" fontId="16" fillId="0" borderId="0" xfId="0" applyFont="1" applyAlignment="1">
      <alignment wrapText="1"/>
    </xf>
    <xf numFmtId="0" fontId="21" fillId="0" borderId="0" xfId="0" applyFont="1"/>
    <xf numFmtId="0" fontId="0" fillId="0" borderId="16" xfId="0" applyBorder="1"/>
    <xf numFmtId="3" fontId="0" fillId="0" borderId="17" xfId="0" applyNumberFormat="1" applyBorder="1"/>
    <xf numFmtId="0" fontId="0" fillId="0" borderId="18" xfId="0" applyBorder="1"/>
    <xf numFmtId="3" fontId="0" fillId="0" borderId="19" xfId="0" applyNumberFormat="1" applyBorder="1"/>
    <xf numFmtId="0" fontId="0" fillId="0" borderId="20" xfId="0" applyBorder="1"/>
    <xf numFmtId="3" fontId="0" fillId="0" borderId="21" xfId="0" applyNumberFormat="1" applyBorder="1"/>
    <xf numFmtId="1" fontId="0" fillId="0" borderId="21" xfId="0" applyNumberFormat="1" applyBorder="1"/>
    <xf numFmtId="164" fontId="0" fillId="0" borderId="22" xfId="0" applyNumberFormat="1" applyBorder="1" applyAlignment="1">
      <alignment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3" fontId="0" fillId="0" borderId="0" xfId="0" applyNumberFormat="1" applyBorder="1"/>
    <xf numFmtId="0" fontId="0" fillId="0" borderId="26" xfId="0" applyBorder="1"/>
    <xf numFmtId="3" fontId="0" fillId="0" borderId="24" xfId="0" applyNumberFormat="1" applyBorder="1"/>
    <xf numFmtId="164" fontId="0" fillId="0" borderId="25" xfId="0" applyNumberFormat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1" fontId="0" fillId="0" borderId="0" xfId="0" applyNumberFormat="1" applyFill="1" applyBorder="1"/>
    <xf numFmtId="3" fontId="22" fillId="0" borderId="0" xfId="0" applyNumberFormat="1" applyFont="1"/>
    <xf numFmtId="3" fontId="22" fillId="0" borderId="0" xfId="0" applyNumberFormat="1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0" fillId="5" borderId="27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0" xfId="0" applyFill="1" applyBorder="1"/>
    <xf numFmtId="0" fontId="0" fillId="5" borderId="33" xfId="0" applyFill="1" applyBorder="1"/>
    <xf numFmtId="0" fontId="6" fillId="5" borderId="34" xfId="0" applyFont="1" applyFill="1" applyBorder="1"/>
    <xf numFmtId="0" fontId="0" fillId="5" borderId="35" xfId="0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8" fillId="5" borderId="43" xfId="0" applyFont="1" applyFill="1" applyBorder="1"/>
    <xf numFmtId="0" fontId="0" fillId="0" borderId="0" xfId="0" applyFill="1" applyBorder="1" applyAlignment="1">
      <alignment wrapText="1"/>
    </xf>
    <xf numFmtId="164" fontId="0" fillId="2" borderId="0" xfId="0" applyNumberFormat="1" applyFill="1"/>
    <xf numFmtId="1" fontId="0" fillId="2" borderId="0" xfId="0" applyNumberFormat="1" applyFill="1"/>
    <xf numFmtId="0" fontId="6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9" fillId="0" borderId="11" xfId="0" applyFont="1" applyBorder="1" applyAlignment="1">
      <alignment horizontal="right" wrapText="1"/>
    </xf>
    <xf numFmtId="0" fontId="9" fillId="0" borderId="12" xfId="0" applyFont="1" applyBorder="1" applyAlignment="1">
      <alignment horizontal="right" wrapText="1"/>
    </xf>
    <xf numFmtId="0" fontId="9" fillId="0" borderId="13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</cellXfs>
  <cellStyles count="6">
    <cellStyle name="Hyperlink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v>under 30</c:v>
          </c:tx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1"/>
          <c:tx>
            <c:v>30-49</c:v>
          </c:tx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2"/>
          <c:tx>
            <c:v>50-64</c:v>
          </c:tx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3"/>
          <c:tx>
            <c:v>65+</c:v>
          </c:tx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735040"/>
        <c:axId val="189825792"/>
      </c:barChart>
      <c:catAx>
        <c:axId val="18773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825792"/>
        <c:crosses val="autoZero"/>
        <c:auto val="1"/>
        <c:lblAlgn val="ctr"/>
        <c:lblOffset val="100"/>
        <c:noMultiLvlLbl val="0"/>
      </c:catAx>
      <c:valAx>
        <c:axId val="1898257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7735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age!$D$22</c:f>
              <c:strCache>
                <c:ptCount val="1"/>
                <c:pt idx="0">
                  <c:v>total change </c:v>
                </c:pt>
              </c:strCache>
            </c:strRef>
          </c:tx>
          <c:spPr>
            <a:ln w="41275">
              <a:solidFill>
                <a:srgbClr val="800080"/>
              </a:solidFill>
            </a:ln>
          </c:spPr>
          <c:marker>
            <c:symbol val="none"/>
          </c:marker>
          <c:cat>
            <c:strRef>
              <c:f>age!$A$23:$A$31</c:f>
              <c:strCache>
                <c:ptCount val="9"/>
                <c:pt idx="0">
                  <c:v>under 25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55-59</c:v>
                </c:pt>
                <c:pt idx="5">
                  <c:v>60-64</c:v>
                </c:pt>
                <c:pt idx="6">
                  <c:v>65-74</c:v>
                </c:pt>
                <c:pt idx="7">
                  <c:v>75-84</c:v>
                </c:pt>
                <c:pt idx="8">
                  <c:v>85+</c:v>
                </c:pt>
              </c:strCache>
            </c:strRef>
          </c:cat>
          <c:val>
            <c:numRef>
              <c:f>age!$D$23:$D$31</c:f>
              <c:numCache>
                <c:formatCode>#,##0</c:formatCode>
                <c:ptCount val="9"/>
                <c:pt idx="0">
                  <c:v>-400</c:v>
                </c:pt>
                <c:pt idx="1">
                  <c:v>6900</c:v>
                </c:pt>
                <c:pt idx="2">
                  <c:v>7300</c:v>
                </c:pt>
                <c:pt idx="3">
                  <c:v>9200</c:v>
                </c:pt>
                <c:pt idx="4">
                  <c:v>6200</c:v>
                </c:pt>
                <c:pt idx="5">
                  <c:v>6200</c:v>
                </c:pt>
                <c:pt idx="6">
                  <c:v>14100</c:v>
                </c:pt>
                <c:pt idx="7">
                  <c:v>18300</c:v>
                </c:pt>
                <c:pt idx="8">
                  <c:v>10800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54080"/>
        <c:axId val="189855616"/>
      </c:lineChart>
      <c:catAx>
        <c:axId val="1898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89855616"/>
        <c:crosses val="autoZero"/>
        <c:auto val="1"/>
        <c:lblAlgn val="ctr"/>
        <c:lblOffset val="100"/>
        <c:noMultiLvlLbl val="0"/>
      </c:catAx>
      <c:valAx>
        <c:axId val="189855616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89854080"/>
        <c:crosses val="autoZero"/>
        <c:crossBetween val="between"/>
        <c:dispUnits>
          <c:builtInUnit val="thousands"/>
          <c:dispUnitsLbl>
            <c:layout/>
            <c:txPr>
              <a:bodyPr/>
              <a:lstStyle/>
              <a:p>
                <a:pPr>
                  <a:defRPr sz="120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" l="0" r="0" t="0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412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'LAs in WMR'!$FK$42:$GJ$42</c:f>
              <c:numCache>
                <c:formatCode>General</c:formatCode>
                <c:ptCount val="2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</c:numCache>
            </c:numRef>
          </c:cat>
          <c:val>
            <c:numRef>
              <c:f>'LAs in WMR'!$FK$43:$GJ$43</c:f>
              <c:numCache>
                <c:formatCode>#,##0</c:formatCode>
                <c:ptCount val="26"/>
                <c:pt idx="0">
                  <c:v>419.51900000000001</c:v>
                </c:pt>
                <c:pt idx="1">
                  <c:v>421.91500000000002</c:v>
                </c:pt>
                <c:pt idx="2">
                  <c:v>424.30599999999998</c:v>
                </c:pt>
                <c:pt idx="3">
                  <c:v>426.56599999999997</c:v>
                </c:pt>
                <c:pt idx="4">
                  <c:v>428.78399999999999</c:v>
                </c:pt>
                <c:pt idx="5">
                  <c:v>430.90899999999999</c:v>
                </c:pt>
                <c:pt idx="6">
                  <c:v>434.16800000000001</c:v>
                </c:pt>
                <c:pt idx="7">
                  <c:v>437.37799999999999</c:v>
                </c:pt>
                <c:pt idx="8">
                  <c:v>440.62799999999999</c:v>
                </c:pt>
                <c:pt idx="9">
                  <c:v>443.88200000000001</c:v>
                </c:pt>
                <c:pt idx="10">
                  <c:v>447.17099999999999</c:v>
                </c:pt>
                <c:pt idx="11">
                  <c:v>450.46</c:v>
                </c:pt>
                <c:pt idx="12">
                  <c:v>453.84100000000001</c:v>
                </c:pt>
                <c:pt idx="13">
                  <c:v>457.221</c:v>
                </c:pt>
                <c:pt idx="14">
                  <c:v>460.53300000000002</c:v>
                </c:pt>
                <c:pt idx="15">
                  <c:v>463.95100000000002</c:v>
                </c:pt>
                <c:pt idx="16">
                  <c:v>467.53500000000003</c:v>
                </c:pt>
                <c:pt idx="17">
                  <c:v>471.08300000000003</c:v>
                </c:pt>
                <c:pt idx="18">
                  <c:v>474.54199999999997</c:v>
                </c:pt>
                <c:pt idx="19">
                  <c:v>477.88</c:v>
                </c:pt>
                <c:pt idx="20">
                  <c:v>481.31900000000002</c:v>
                </c:pt>
                <c:pt idx="21">
                  <c:v>484.79399999999998</c:v>
                </c:pt>
                <c:pt idx="22">
                  <c:v>488.25200000000001</c:v>
                </c:pt>
                <c:pt idx="23">
                  <c:v>491.61599999999999</c:v>
                </c:pt>
                <c:pt idx="24">
                  <c:v>494.85599999999999</c:v>
                </c:pt>
                <c:pt idx="25">
                  <c:v>498.13600000000002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12640"/>
        <c:axId val="190103552"/>
      </c:lineChart>
      <c:catAx>
        <c:axId val="1897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n-US"/>
          </a:p>
        </c:txPr>
        <c:crossAx val="190103552"/>
        <c:crosses val="autoZero"/>
        <c:auto val="1"/>
        <c:lblAlgn val="ctr"/>
        <c:lblOffset val="100"/>
        <c:noMultiLvlLbl val="0"/>
      </c:catAx>
      <c:valAx>
        <c:axId val="19010355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GB" sz="1200" b="0"/>
                  <a:t>thousands</a:t>
                </a:r>
              </a:p>
            </c:rich>
          </c:tx>
          <c:layout>
            <c:manualLayout>
              <c:xMode val="edge"/>
              <c:yMode val="edge"/>
              <c:x val="1.6666628461835281E-2"/>
              <c:y val="2.8917079809468258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89712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solidFill>
            <a:schemeClr val="tx2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'Birmingham compare'!$BK$1</c:f>
              <c:strCache>
                <c:ptCount val="1"/>
                <c:pt idx="0">
                  <c:v>2016-base</c:v>
                </c:pt>
              </c:strCache>
            </c:strRef>
          </c:tx>
          <c:spPr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'Birmingham compare'!$BJ$2:$BJ$42</c:f>
              <c:numCache>
                <c:formatCode>General</c:formatCode>
                <c:ptCount val="4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  <c:pt idx="25">
                  <c:v>2026</c:v>
                </c:pt>
                <c:pt idx="26">
                  <c:v>2027</c:v>
                </c:pt>
                <c:pt idx="27">
                  <c:v>2028</c:v>
                </c:pt>
                <c:pt idx="28">
                  <c:v>2029</c:v>
                </c:pt>
                <c:pt idx="29">
                  <c:v>2030</c:v>
                </c:pt>
                <c:pt idx="30">
                  <c:v>2031</c:v>
                </c:pt>
                <c:pt idx="31">
                  <c:v>2032</c:v>
                </c:pt>
                <c:pt idx="32">
                  <c:v>2033</c:v>
                </c:pt>
                <c:pt idx="33">
                  <c:v>2034</c:v>
                </c:pt>
                <c:pt idx="34">
                  <c:v>2035</c:v>
                </c:pt>
                <c:pt idx="35">
                  <c:v>2036</c:v>
                </c:pt>
                <c:pt idx="36">
                  <c:v>2037</c:v>
                </c:pt>
                <c:pt idx="37">
                  <c:v>2038</c:v>
                </c:pt>
                <c:pt idx="38">
                  <c:v>2039</c:v>
                </c:pt>
                <c:pt idx="39">
                  <c:v>2040</c:v>
                </c:pt>
                <c:pt idx="40">
                  <c:v>2041</c:v>
                </c:pt>
              </c:numCache>
            </c:numRef>
          </c:cat>
          <c:val>
            <c:numRef>
              <c:f>'Birmingham compare'!$BK$2:$BK$42</c:f>
              <c:numCache>
                <c:formatCode>#,##0</c:formatCode>
                <c:ptCount val="41"/>
                <c:pt idx="0">
                  <c:v>392.03300000000002</c:v>
                </c:pt>
                <c:pt idx="1">
                  <c:v>392.34399999999999</c:v>
                </c:pt>
                <c:pt idx="2">
                  <c:v>392.13200000000001</c:v>
                </c:pt>
                <c:pt idx="3">
                  <c:v>391.81900000000002</c:v>
                </c:pt>
                <c:pt idx="4">
                  <c:v>394.64</c:v>
                </c:pt>
                <c:pt idx="5">
                  <c:v>395.12799999999999</c:v>
                </c:pt>
                <c:pt idx="6">
                  <c:v>396.68</c:v>
                </c:pt>
                <c:pt idx="7">
                  <c:v>398.95800000000003</c:v>
                </c:pt>
                <c:pt idx="8">
                  <c:v>401.37099999999998</c:v>
                </c:pt>
                <c:pt idx="9">
                  <c:v>404.00700000000001</c:v>
                </c:pt>
                <c:pt idx="10">
                  <c:v>407.77</c:v>
                </c:pt>
                <c:pt idx="11">
                  <c:v>409.935</c:v>
                </c:pt>
                <c:pt idx="12">
                  <c:v>411.09899999999999</c:v>
                </c:pt>
                <c:pt idx="13">
                  <c:v>413.178</c:v>
                </c:pt>
                <c:pt idx="14">
                  <c:v>415.59199999999998</c:v>
                </c:pt>
                <c:pt idx="15">
                  <c:v>419.51900000000001</c:v>
                </c:pt>
                <c:pt idx="16">
                  <c:v>421.91500000000002</c:v>
                </c:pt>
                <c:pt idx="17">
                  <c:v>424.30599999999998</c:v>
                </c:pt>
                <c:pt idx="18">
                  <c:v>426.56599999999997</c:v>
                </c:pt>
                <c:pt idx="19">
                  <c:v>428.78399999999999</c:v>
                </c:pt>
                <c:pt idx="20">
                  <c:v>430.90899999999999</c:v>
                </c:pt>
                <c:pt idx="21">
                  <c:v>434.16800000000001</c:v>
                </c:pt>
                <c:pt idx="22">
                  <c:v>437.37799999999999</c:v>
                </c:pt>
                <c:pt idx="23">
                  <c:v>440.62799999999999</c:v>
                </c:pt>
                <c:pt idx="24">
                  <c:v>443.88200000000001</c:v>
                </c:pt>
                <c:pt idx="25">
                  <c:v>447.17099999999999</c:v>
                </c:pt>
                <c:pt idx="26">
                  <c:v>450.46</c:v>
                </c:pt>
                <c:pt idx="27">
                  <c:v>453.84100000000001</c:v>
                </c:pt>
                <c:pt idx="28">
                  <c:v>457.221</c:v>
                </c:pt>
                <c:pt idx="29">
                  <c:v>460.53300000000002</c:v>
                </c:pt>
                <c:pt idx="30">
                  <c:v>463.95100000000002</c:v>
                </c:pt>
                <c:pt idx="31">
                  <c:v>467.53500000000003</c:v>
                </c:pt>
                <c:pt idx="32">
                  <c:v>471.08300000000003</c:v>
                </c:pt>
                <c:pt idx="33">
                  <c:v>474.54199999999997</c:v>
                </c:pt>
                <c:pt idx="34">
                  <c:v>477.88</c:v>
                </c:pt>
                <c:pt idx="35">
                  <c:v>481.31900000000002</c:v>
                </c:pt>
                <c:pt idx="36">
                  <c:v>484.79399999999998</c:v>
                </c:pt>
                <c:pt idx="37">
                  <c:v>488.25200000000001</c:v>
                </c:pt>
                <c:pt idx="38">
                  <c:v>491.61599999999999</c:v>
                </c:pt>
                <c:pt idx="39">
                  <c:v>494.85599999999999</c:v>
                </c:pt>
                <c:pt idx="40">
                  <c:v>498.13600000000002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'Birmingham compare'!$BL$1</c:f>
              <c:strCache>
                <c:ptCount val="1"/>
                <c:pt idx="0">
                  <c:v>2014-base</c:v>
                </c:pt>
              </c:strCache>
            </c:strRef>
          </c:tx>
          <c:spPr>
            <a:ln w="50800"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'Birmingham compare'!$BJ$2:$BJ$42</c:f>
              <c:numCache>
                <c:formatCode>General</c:formatCode>
                <c:ptCount val="4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  <c:pt idx="25">
                  <c:v>2026</c:v>
                </c:pt>
                <c:pt idx="26">
                  <c:v>2027</c:v>
                </c:pt>
                <c:pt idx="27">
                  <c:v>2028</c:v>
                </c:pt>
                <c:pt idx="28">
                  <c:v>2029</c:v>
                </c:pt>
                <c:pt idx="29">
                  <c:v>2030</c:v>
                </c:pt>
                <c:pt idx="30">
                  <c:v>2031</c:v>
                </c:pt>
                <c:pt idx="31">
                  <c:v>2032</c:v>
                </c:pt>
                <c:pt idx="32">
                  <c:v>2033</c:v>
                </c:pt>
                <c:pt idx="33">
                  <c:v>2034</c:v>
                </c:pt>
                <c:pt idx="34">
                  <c:v>2035</c:v>
                </c:pt>
                <c:pt idx="35">
                  <c:v>2036</c:v>
                </c:pt>
                <c:pt idx="36">
                  <c:v>2037</c:v>
                </c:pt>
                <c:pt idx="37">
                  <c:v>2038</c:v>
                </c:pt>
                <c:pt idx="38">
                  <c:v>2039</c:v>
                </c:pt>
                <c:pt idx="39">
                  <c:v>2040</c:v>
                </c:pt>
                <c:pt idx="40">
                  <c:v>2041</c:v>
                </c:pt>
              </c:numCache>
            </c:numRef>
          </c:cat>
          <c:val>
            <c:numRef>
              <c:f>'Birmingham compare'!$BL$2:$BL$42</c:f>
              <c:numCache>
                <c:formatCode>#,##0</c:formatCode>
                <c:ptCount val="41"/>
                <c:pt idx="0">
                  <c:v>390.5</c:v>
                </c:pt>
                <c:pt idx="1">
                  <c:v>391.721</c:v>
                </c:pt>
                <c:pt idx="2">
                  <c:v>392.32400000000001</c:v>
                </c:pt>
                <c:pt idx="3">
                  <c:v>392.73700000000002</c:v>
                </c:pt>
                <c:pt idx="4">
                  <c:v>396.29500000000002</c:v>
                </c:pt>
                <c:pt idx="5">
                  <c:v>397.31700000000001</c:v>
                </c:pt>
                <c:pt idx="6">
                  <c:v>399.35199999999998</c:v>
                </c:pt>
                <c:pt idx="7">
                  <c:v>402.05200000000002</c:v>
                </c:pt>
                <c:pt idx="8">
                  <c:v>404.75400000000002</c:v>
                </c:pt>
                <c:pt idx="9">
                  <c:v>407.512</c:v>
                </c:pt>
                <c:pt idx="10">
                  <c:v>411.24</c:v>
                </c:pt>
                <c:pt idx="11">
                  <c:v>415.46899999999999</c:v>
                </c:pt>
                <c:pt idx="12">
                  <c:v>418.37900000000002</c:v>
                </c:pt>
                <c:pt idx="13">
                  <c:v>422</c:v>
                </c:pt>
                <c:pt idx="14">
                  <c:v>426.57499999999999</c:v>
                </c:pt>
                <c:pt idx="15">
                  <c:v>431.21899999999999</c:v>
                </c:pt>
                <c:pt idx="16">
                  <c:v>435.67899999999997</c:v>
                </c:pt>
                <c:pt idx="17">
                  <c:v>439.99700000000001</c:v>
                </c:pt>
                <c:pt idx="18">
                  <c:v>444.29700000000003</c:v>
                </c:pt>
                <c:pt idx="19">
                  <c:v>448.709</c:v>
                </c:pt>
                <c:pt idx="20">
                  <c:v>453.14600000000002</c:v>
                </c:pt>
                <c:pt idx="21">
                  <c:v>457.49099999999999</c:v>
                </c:pt>
                <c:pt idx="22">
                  <c:v>461.839</c:v>
                </c:pt>
                <c:pt idx="23">
                  <c:v>466.29199999999997</c:v>
                </c:pt>
                <c:pt idx="24">
                  <c:v>470.83699999999999</c:v>
                </c:pt>
                <c:pt idx="25">
                  <c:v>475.529</c:v>
                </c:pt>
                <c:pt idx="26">
                  <c:v>480.23</c:v>
                </c:pt>
                <c:pt idx="27">
                  <c:v>484.935</c:v>
                </c:pt>
                <c:pt idx="28">
                  <c:v>489.56099999999998</c:v>
                </c:pt>
                <c:pt idx="29">
                  <c:v>494.09199999999998</c:v>
                </c:pt>
                <c:pt idx="30">
                  <c:v>498.65</c:v>
                </c:pt>
                <c:pt idx="31">
                  <c:v>503.23</c:v>
                </c:pt>
                <c:pt idx="32">
                  <c:v>507.65600000000001</c:v>
                </c:pt>
                <c:pt idx="33">
                  <c:v>511.98</c:v>
                </c:pt>
                <c:pt idx="34">
                  <c:v>516.20600000000002</c:v>
                </c:pt>
                <c:pt idx="35">
                  <c:v>520.524</c:v>
                </c:pt>
                <c:pt idx="36">
                  <c:v>524.93899999999996</c:v>
                </c:pt>
                <c:pt idx="37">
                  <c:v>529.28599999999994</c:v>
                </c:pt>
                <c:pt idx="38">
                  <c:v>533.52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'Birmingham compare'!$BM$1</c:f>
              <c:strCache>
                <c:ptCount val="1"/>
                <c:pt idx="0">
                  <c:v>2012-base</c:v>
                </c:pt>
              </c:strCache>
            </c:strRef>
          </c:tx>
          <c:spPr>
            <a:ln w="3810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'Birmingham compare'!$BJ$2:$BJ$42</c:f>
              <c:numCache>
                <c:formatCode>General</c:formatCode>
                <c:ptCount val="4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  <c:pt idx="25">
                  <c:v>2026</c:v>
                </c:pt>
                <c:pt idx="26">
                  <c:v>2027</c:v>
                </c:pt>
                <c:pt idx="27">
                  <c:v>2028</c:v>
                </c:pt>
                <c:pt idx="28">
                  <c:v>2029</c:v>
                </c:pt>
                <c:pt idx="29">
                  <c:v>2030</c:v>
                </c:pt>
                <c:pt idx="30">
                  <c:v>2031</c:v>
                </c:pt>
                <c:pt idx="31">
                  <c:v>2032</c:v>
                </c:pt>
                <c:pt idx="32">
                  <c:v>2033</c:v>
                </c:pt>
                <c:pt idx="33">
                  <c:v>2034</c:v>
                </c:pt>
                <c:pt idx="34">
                  <c:v>2035</c:v>
                </c:pt>
                <c:pt idx="35">
                  <c:v>2036</c:v>
                </c:pt>
                <c:pt idx="36">
                  <c:v>2037</c:v>
                </c:pt>
                <c:pt idx="37">
                  <c:v>2038</c:v>
                </c:pt>
                <c:pt idx="38">
                  <c:v>2039</c:v>
                </c:pt>
                <c:pt idx="39">
                  <c:v>2040</c:v>
                </c:pt>
                <c:pt idx="40">
                  <c:v>2041</c:v>
                </c:pt>
              </c:numCache>
            </c:numRef>
          </c:cat>
          <c:val>
            <c:numRef>
              <c:f>'Birmingham compare'!$BM$2:$BM$42</c:f>
              <c:numCache>
                <c:formatCode>#,##0</c:formatCode>
                <c:ptCount val="41"/>
                <c:pt idx="0">
                  <c:v>390.5</c:v>
                </c:pt>
                <c:pt idx="1">
                  <c:v>391.714</c:v>
                </c:pt>
                <c:pt idx="2">
                  <c:v>392.31200000000001</c:v>
                </c:pt>
                <c:pt idx="3">
                  <c:v>392.72</c:v>
                </c:pt>
                <c:pt idx="4">
                  <c:v>396.27199999999999</c:v>
                </c:pt>
                <c:pt idx="5">
                  <c:v>397.28899999999999</c:v>
                </c:pt>
                <c:pt idx="6">
                  <c:v>399.32</c:v>
                </c:pt>
                <c:pt idx="7">
                  <c:v>402.01600000000002</c:v>
                </c:pt>
                <c:pt idx="8">
                  <c:v>404.71499999999997</c:v>
                </c:pt>
                <c:pt idx="9">
                  <c:v>407.46899999999999</c:v>
                </c:pt>
                <c:pt idx="10">
                  <c:v>411.19499999999999</c:v>
                </c:pt>
                <c:pt idx="11">
                  <c:v>415.44</c:v>
                </c:pt>
                <c:pt idx="12">
                  <c:v>418.84500000000003</c:v>
                </c:pt>
                <c:pt idx="13">
                  <c:v>422.74400000000003</c:v>
                </c:pt>
                <c:pt idx="14">
                  <c:v>426.80599999999998</c:v>
                </c:pt>
                <c:pt idx="15">
                  <c:v>431.08300000000003</c:v>
                </c:pt>
                <c:pt idx="16">
                  <c:v>435.29399999999998</c:v>
                </c:pt>
                <c:pt idx="17">
                  <c:v>439.51499999999999</c:v>
                </c:pt>
                <c:pt idx="18">
                  <c:v>443.81900000000002</c:v>
                </c:pt>
                <c:pt idx="19">
                  <c:v>448.20699999999999</c:v>
                </c:pt>
                <c:pt idx="20">
                  <c:v>452.58100000000002</c:v>
                </c:pt>
                <c:pt idx="21">
                  <c:v>456.86900000000003</c:v>
                </c:pt>
                <c:pt idx="22">
                  <c:v>461.19499999999999</c:v>
                </c:pt>
                <c:pt idx="23">
                  <c:v>465.625</c:v>
                </c:pt>
                <c:pt idx="24">
                  <c:v>470.08</c:v>
                </c:pt>
                <c:pt idx="25">
                  <c:v>474.61900000000003</c:v>
                </c:pt>
                <c:pt idx="26">
                  <c:v>479.178</c:v>
                </c:pt>
                <c:pt idx="27">
                  <c:v>483.73099999999999</c:v>
                </c:pt>
                <c:pt idx="28">
                  <c:v>488.22</c:v>
                </c:pt>
                <c:pt idx="29">
                  <c:v>492.60399999999998</c:v>
                </c:pt>
                <c:pt idx="30">
                  <c:v>496.952</c:v>
                </c:pt>
                <c:pt idx="31">
                  <c:v>501.322</c:v>
                </c:pt>
                <c:pt idx="32">
                  <c:v>505.53199999999998</c:v>
                </c:pt>
                <c:pt idx="33">
                  <c:v>509.75900000000001</c:v>
                </c:pt>
                <c:pt idx="34">
                  <c:v>513.94100000000003</c:v>
                </c:pt>
                <c:pt idx="35">
                  <c:v>518.15099999999995</c:v>
                </c:pt>
                <c:pt idx="36">
                  <c:v>522.41600000000005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32928"/>
        <c:axId val="190334464"/>
      </c:lineChart>
      <c:catAx>
        <c:axId val="1903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n-US"/>
          </a:p>
        </c:txPr>
        <c:crossAx val="190334464"/>
        <c:crosses val="autoZero"/>
        <c:auto val="1"/>
        <c:lblAlgn val="ctr"/>
        <c:lblOffset val="100"/>
        <c:noMultiLvlLbl val="0"/>
      </c:catAx>
      <c:valAx>
        <c:axId val="190334464"/>
        <c:scaling>
          <c:orientation val="minMax"/>
          <c:min val="37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>
                    <a:solidFill>
                      <a:schemeClr val="tx2"/>
                    </a:solidFill>
                  </a:defRPr>
                </a:pPr>
                <a:r>
                  <a:rPr lang="en-US" sz="1200" b="0">
                    <a:solidFill>
                      <a:schemeClr val="tx2"/>
                    </a:solidFill>
                  </a:rPr>
                  <a:t>Households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n-US"/>
          </a:p>
        </c:txPr>
        <c:crossAx val="1903329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 b="0">
              <a:solidFill>
                <a:schemeClr val="tx2"/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'Birmingham Plan'!$A$808</c:f>
              <c:strCache>
                <c:ptCount val="1"/>
                <c:pt idx="0">
                  <c:v>2016-base</c:v>
                </c:pt>
              </c:strCache>
            </c:strRef>
          </c:tx>
          <c:spPr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'Birmingham Plan'!$B$807:$V$807</c:f>
              <c:numCache>
                <c:formatCode>General</c:formatCode>
                <c:ptCount val="2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</c:numCache>
            </c:numRef>
          </c:cat>
          <c:val>
            <c:numRef>
              <c:f>'Birmingham Plan'!$B$808:$V$808</c:f>
              <c:numCache>
                <c:formatCode>0</c:formatCode>
                <c:ptCount val="21"/>
                <c:pt idx="0">
                  <c:v>407.77</c:v>
                </c:pt>
                <c:pt idx="1">
                  <c:v>409.935</c:v>
                </c:pt>
                <c:pt idx="2">
                  <c:v>411.09899999999999</c:v>
                </c:pt>
                <c:pt idx="3">
                  <c:v>413.178</c:v>
                </c:pt>
                <c:pt idx="4">
                  <c:v>415.59199999999998</c:v>
                </c:pt>
                <c:pt idx="5">
                  <c:v>419.51900000000001</c:v>
                </c:pt>
                <c:pt idx="6">
                  <c:v>421.91500000000002</c:v>
                </c:pt>
                <c:pt idx="7">
                  <c:v>424.30599999999998</c:v>
                </c:pt>
                <c:pt idx="8">
                  <c:v>426.56599999999997</c:v>
                </c:pt>
                <c:pt idx="9">
                  <c:v>428.78399999999999</c:v>
                </c:pt>
                <c:pt idx="10">
                  <c:v>430.90899999999999</c:v>
                </c:pt>
                <c:pt idx="11">
                  <c:v>434.16800000000001</c:v>
                </c:pt>
                <c:pt idx="12">
                  <c:v>437.37799999999999</c:v>
                </c:pt>
                <c:pt idx="13">
                  <c:v>440.62799999999999</c:v>
                </c:pt>
                <c:pt idx="14">
                  <c:v>443.88200000000001</c:v>
                </c:pt>
                <c:pt idx="15">
                  <c:v>447.17099999999999</c:v>
                </c:pt>
                <c:pt idx="16">
                  <c:v>450.46</c:v>
                </c:pt>
                <c:pt idx="17">
                  <c:v>453.84100000000001</c:v>
                </c:pt>
                <c:pt idx="18">
                  <c:v>457.221</c:v>
                </c:pt>
                <c:pt idx="19">
                  <c:v>460.53300000000002</c:v>
                </c:pt>
                <c:pt idx="20">
                  <c:v>463.95100000000002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'Birmingham Plan'!$A$809</c:f>
              <c:strCache>
                <c:ptCount val="1"/>
                <c:pt idx="0">
                  <c:v>2014-base</c:v>
                </c:pt>
              </c:strCache>
            </c:strRef>
          </c:tx>
          <c:spPr>
            <a:ln w="41275">
              <a:solidFill>
                <a:srgbClr val="FF00FF"/>
              </a:solidFill>
            </a:ln>
          </c:spPr>
          <c:marker>
            <c:symbol val="none"/>
          </c:marker>
          <c:cat>
            <c:numRef>
              <c:f>'Birmingham Plan'!$B$807:$V$807</c:f>
              <c:numCache>
                <c:formatCode>General</c:formatCode>
                <c:ptCount val="2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</c:numCache>
            </c:numRef>
          </c:cat>
          <c:val>
            <c:numRef>
              <c:f>'Birmingham Plan'!$B$809:$V$809</c:f>
              <c:numCache>
                <c:formatCode>0</c:formatCode>
                <c:ptCount val="21"/>
                <c:pt idx="0">
                  <c:v>411.24</c:v>
                </c:pt>
                <c:pt idx="1">
                  <c:v>415.46899999999999</c:v>
                </c:pt>
                <c:pt idx="2">
                  <c:v>418.37900000000002</c:v>
                </c:pt>
                <c:pt idx="3">
                  <c:v>422</c:v>
                </c:pt>
                <c:pt idx="4">
                  <c:v>426.57499999999999</c:v>
                </c:pt>
                <c:pt idx="5">
                  <c:v>431.21899999999999</c:v>
                </c:pt>
                <c:pt idx="6">
                  <c:v>435.67899999999997</c:v>
                </c:pt>
                <c:pt idx="7">
                  <c:v>439.99700000000001</c:v>
                </c:pt>
                <c:pt idx="8">
                  <c:v>444.29700000000003</c:v>
                </c:pt>
                <c:pt idx="9">
                  <c:v>448.709</c:v>
                </c:pt>
                <c:pt idx="10">
                  <c:v>453.14600000000002</c:v>
                </c:pt>
                <c:pt idx="11">
                  <c:v>457.49099999999999</c:v>
                </c:pt>
                <c:pt idx="12">
                  <c:v>461.839</c:v>
                </c:pt>
                <c:pt idx="13">
                  <c:v>466.29199999999997</c:v>
                </c:pt>
                <c:pt idx="14">
                  <c:v>470.83699999999999</c:v>
                </c:pt>
                <c:pt idx="15">
                  <c:v>475.529</c:v>
                </c:pt>
                <c:pt idx="16">
                  <c:v>480.23</c:v>
                </c:pt>
                <c:pt idx="17">
                  <c:v>484.935</c:v>
                </c:pt>
                <c:pt idx="18">
                  <c:v>489.56099999999998</c:v>
                </c:pt>
                <c:pt idx="19">
                  <c:v>494.09199999999998</c:v>
                </c:pt>
                <c:pt idx="20">
                  <c:v>498.65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'Birmingham Plan'!$A$810</c:f>
              <c:strCache>
                <c:ptCount val="1"/>
                <c:pt idx="0">
                  <c:v>2012-base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'Birmingham Plan'!$B$807:$V$807</c:f>
              <c:numCache>
                <c:formatCode>General</c:formatCode>
                <c:ptCount val="2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</c:numCache>
            </c:numRef>
          </c:cat>
          <c:val>
            <c:numRef>
              <c:f>'Birmingham Plan'!$B$810:$V$810</c:f>
              <c:numCache>
                <c:formatCode>0</c:formatCode>
                <c:ptCount val="21"/>
                <c:pt idx="0">
                  <c:v>411.19499999999999</c:v>
                </c:pt>
                <c:pt idx="1">
                  <c:v>415.44</c:v>
                </c:pt>
                <c:pt idx="2">
                  <c:v>418.84500000000003</c:v>
                </c:pt>
                <c:pt idx="3">
                  <c:v>422.74400000000003</c:v>
                </c:pt>
                <c:pt idx="4">
                  <c:v>426.80599999999998</c:v>
                </c:pt>
                <c:pt idx="5">
                  <c:v>431.08300000000003</c:v>
                </c:pt>
                <c:pt idx="6">
                  <c:v>435.29399999999998</c:v>
                </c:pt>
                <c:pt idx="7">
                  <c:v>439.51499999999999</c:v>
                </c:pt>
                <c:pt idx="8">
                  <c:v>443.81900000000002</c:v>
                </c:pt>
                <c:pt idx="9">
                  <c:v>448.20699999999999</c:v>
                </c:pt>
                <c:pt idx="10">
                  <c:v>452.58100000000002</c:v>
                </c:pt>
                <c:pt idx="11">
                  <c:v>456.86900000000003</c:v>
                </c:pt>
                <c:pt idx="12">
                  <c:v>461.19499999999999</c:v>
                </c:pt>
                <c:pt idx="13">
                  <c:v>465.625</c:v>
                </c:pt>
                <c:pt idx="14">
                  <c:v>470.08</c:v>
                </c:pt>
                <c:pt idx="15">
                  <c:v>474.61900000000003</c:v>
                </c:pt>
                <c:pt idx="16">
                  <c:v>479.178</c:v>
                </c:pt>
                <c:pt idx="17">
                  <c:v>483.73099999999999</c:v>
                </c:pt>
                <c:pt idx="18">
                  <c:v>488.22</c:v>
                </c:pt>
                <c:pt idx="19">
                  <c:v>492.60399999999998</c:v>
                </c:pt>
                <c:pt idx="20">
                  <c:v>496.952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06528"/>
        <c:axId val="189608320"/>
      </c:lineChart>
      <c:catAx>
        <c:axId val="18960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189608320"/>
        <c:crosses val="autoZero"/>
        <c:auto val="1"/>
        <c:lblAlgn val="ctr"/>
        <c:lblOffset val="100"/>
        <c:noMultiLvlLbl val="0"/>
      </c:catAx>
      <c:valAx>
        <c:axId val="189608320"/>
        <c:scaling>
          <c:orientation val="minMax"/>
          <c:min val="4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89606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25" dropStyle="combo" dx="16" fmlaLink="$CU$46" fmlaRange="$CT$46:$CT$71" noThreeD="1" sel="26"/>
</file>

<file path=xl/ctrlProps/ctrlProp2.xml><?xml version="1.0" encoding="utf-8"?>
<formControlPr xmlns="http://schemas.microsoft.com/office/spreadsheetml/2009/9/main" objectType="Drop" dropLines="33" dropStyle="combo" dx="16" fmlaLink="$ES$43" fmlaRange="$EU$8:$EU$40" noThreeD="1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542925</xdr:colOff>
      <xdr:row>99</xdr:row>
      <xdr:rowOff>66675</xdr:rowOff>
    </xdr:from>
    <xdr:to>
      <xdr:col>66</xdr:col>
      <xdr:colOff>238125</xdr:colOff>
      <xdr:row>113</xdr:row>
      <xdr:rowOff>142875</xdr:rowOff>
    </xdr:to>
    <xdr:graphicFrame macro="">
      <xdr:nvGraphicFramePr>
        <xdr:cNvPr id="316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21</xdr:row>
          <xdr:rowOff>523875</xdr:rowOff>
        </xdr:from>
        <xdr:to>
          <xdr:col>3</xdr:col>
          <xdr:colOff>38100</xdr:colOff>
          <xdr:row>21</xdr:row>
          <xdr:rowOff>742950</xdr:rowOff>
        </xdr:to>
        <xdr:sp macro="" textlink="">
          <xdr:nvSpPr>
            <xdr:cNvPr id="3113" name="Drop Down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3</xdr:row>
      <xdr:rowOff>19050</xdr:rowOff>
    </xdr:from>
    <xdr:to>
      <xdr:col>9</xdr:col>
      <xdr:colOff>438150</xdr:colOff>
      <xdr:row>20</xdr:row>
      <xdr:rowOff>152400</xdr:rowOff>
    </xdr:to>
    <xdr:graphicFrame macro="">
      <xdr:nvGraphicFramePr>
        <xdr:cNvPr id="3161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3</xdr:row>
      <xdr:rowOff>0</xdr:rowOff>
    </xdr:from>
    <xdr:to>
      <xdr:col>14</xdr:col>
      <xdr:colOff>561976</xdr:colOff>
      <xdr:row>20</xdr:row>
      <xdr:rowOff>152400</xdr:rowOff>
    </xdr:to>
    <xdr:sp macro="" textlink="">
      <xdr:nvSpPr>
        <xdr:cNvPr id="3" name="TextBox 2"/>
        <xdr:cNvSpPr txBox="1"/>
      </xdr:nvSpPr>
      <xdr:spPr>
        <a:xfrm>
          <a:off x="6153150" y="695325"/>
          <a:ext cx="2943226" cy="3390900"/>
        </a:xfrm>
        <a:prstGeom prst="rect">
          <a:avLst/>
        </a:prstGeom>
        <a:noFill/>
        <a:ln w="508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tx2">
                  <a:lumMod val="75000"/>
                </a:schemeClr>
              </a:solidFill>
            </a:rPr>
            <a:t>Over all the</a:t>
          </a:r>
          <a:r>
            <a:rPr lang="en-GB" sz="1100" baseline="0">
              <a:solidFill>
                <a:schemeClr val="tx2">
                  <a:lumMod val="75000"/>
                </a:schemeClr>
              </a:solidFill>
            </a:rPr>
            <a:t> number of households in Birmingham is projected to increase to 498 thousand, an increase of 18.7%. An average of  3,100 additional households per year</a:t>
          </a:r>
        </a:p>
        <a:p>
          <a:r>
            <a:rPr lang="en-GB" sz="1100" baseline="0">
              <a:solidFill>
                <a:schemeClr val="tx2">
                  <a:lumMod val="75000"/>
                </a:schemeClr>
              </a:solidFill>
            </a:rPr>
            <a:t>This compares with 17% increase in households for England.</a:t>
          </a:r>
        </a:p>
        <a:p>
          <a:endParaRPr lang="en-GB" sz="1100">
            <a:solidFill>
              <a:schemeClr val="tx2">
                <a:lumMod val="75000"/>
              </a:schemeClr>
            </a:solidFill>
          </a:endParaRPr>
        </a:p>
        <a:p>
          <a:r>
            <a:rPr lang="en-GB" sz="1100">
              <a:solidFill>
                <a:schemeClr val="tx2">
                  <a:lumMod val="75000"/>
                </a:schemeClr>
              </a:solidFill>
            </a:rPr>
            <a:t>Households</a:t>
          </a:r>
          <a:r>
            <a:rPr lang="en-GB" sz="1100" baseline="0">
              <a:solidFill>
                <a:schemeClr val="tx2">
                  <a:lumMod val="75000"/>
                </a:schemeClr>
              </a:solidFill>
            </a:rPr>
            <a:t> headed by a pensioner (65+) are projected to increase by 44.5% by 2041, compared with an increase of 11% for those under 65.</a:t>
          </a:r>
        </a:p>
        <a:p>
          <a:endParaRPr lang="en-GB" sz="1100" baseline="0">
            <a:solidFill>
              <a:schemeClr val="tx2">
                <a:lumMod val="75000"/>
              </a:schemeClr>
            </a:solidFill>
          </a:endParaRPr>
        </a:p>
        <a:p>
          <a:r>
            <a:rPr lang="en-GB" sz="1100" baseline="0">
              <a:solidFill>
                <a:schemeClr val="tx2">
                  <a:lumMod val="75000"/>
                </a:schemeClr>
              </a:solidFill>
            </a:rPr>
            <a:t>55% ot the growth in households in Birmingham between 2016 and 2041 is for households headed by someone aged 65 years or over.</a:t>
          </a:r>
        </a:p>
        <a:p>
          <a:endParaRPr lang="en-GB" sz="1100" baseline="0">
            <a:solidFill>
              <a:schemeClr val="tx2">
                <a:lumMod val="75000"/>
              </a:schemeClr>
            </a:solidFill>
          </a:endParaRPr>
        </a:p>
        <a:p>
          <a:r>
            <a:rPr lang="en-GB" sz="1100" baseline="0">
              <a:solidFill>
                <a:schemeClr val="tx2">
                  <a:lumMod val="75000"/>
                </a:schemeClr>
              </a:solidFill>
            </a:rPr>
            <a:t>Households headed under 25's is projected to decrease by 25% between 2016 and 2041.</a:t>
          </a:r>
          <a:endParaRPr lang="en-GB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19050</xdr:rowOff>
    </xdr:from>
    <xdr:to>
      <xdr:col>11</xdr:col>
      <xdr:colOff>161925</xdr:colOff>
      <xdr:row>27</xdr:row>
      <xdr:rowOff>133350</xdr:rowOff>
    </xdr:to>
    <xdr:graphicFrame macro="">
      <xdr:nvGraphicFramePr>
        <xdr:cNvPr id="1058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0</xdr:row>
          <xdr:rowOff>38100</xdr:rowOff>
        </xdr:from>
        <xdr:to>
          <xdr:col>16</xdr:col>
          <xdr:colOff>66675</xdr:colOff>
          <xdr:row>2</xdr:row>
          <xdr:rowOff>47625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104775</xdr:rowOff>
    </xdr:from>
    <xdr:to>
      <xdr:col>9</xdr:col>
      <xdr:colOff>581025</xdr:colOff>
      <xdr:row>23</xdr:row>
      <xdr:rowOff>152400</xdr:rowOff>
    </xdr:to>
    <xdr:graphicFrame macro="">
      <xdr:nvGraphicFramePr>
        <xdr:cNvPr id="2087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104775</xdr:colOff>
      <xdr:row>2</xdr:row>
      <xdr:rowOff>114301</xdr:rowOff>
    </xdr:from>
    <xdr:to>
      <xdr:col>13</xdr:col>
      <xdr:colOff>533400</xdr:colOff>
      <xdr:row>23</xdr:row>
      <xdr:rowOff>152401</xdr:rowOff>
    </xdr:to>
    <xdr:sp macro="" textlink="">
      <xdr:nvSpPr>
        <xdr:cNvPr id="2" name="TextBox 1"/>
        <xdr:cNvSpPr txBox="1"/>
      </xdr:nvSpPr>
      <xdr:spPr>
        <a:xfrm>
          <a:off x="6200775" y="571501"/>
          <a:ext cx="2257425" cy="4038600"/>
        </a:xfrm>
        <a:prstGeom prst="rect">
          <a:avLst/>
        </a:prstGeom>
        <a:solidFill>
          <a:schemeClr val="lt1"/>
        </a:solidFill>
        <a:ln w="4127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The 2016 household projection shows that number of households are projected to increase by 78.6 thousand from 419.5 thousand in 2016 to 498.1 thousand in 2041.  </a:t>
          </a:r>
        </a:p>
        <a:p>
          <a:endParaRPr lang="en-GB" sz="1100" b="0" i="0" u="none" strike="noStrike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This is slower growth than previously projected.  Reflecting lower population projections - assumptions around future births, life expectancy and more up-to-date figures about living arrangements.</a:t>
          </a:r>
          <a:r>
            <a:rPr lang="en-GB">
              <a:solidFill>
                <a:schemeClr val="tx2"/>
              </a:solidFill>
            </a:rPr>
            <a:t> </a:t>
          </a:r>
        </a:p>
        <a:p>
          <a:endParaRPr lang="en-GB" sz="1100" b="0" i="0" u="none" strike="noStrike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The 2014 household projections showed an increase of 102.3 thousand households between 2014 and 2039.</a:t>
          </a:r>
          <a:r>
            <a:rPr lang="en-GB">
              <a:solidFill>
                <a:schemeClr val="tx2"/>
              </a:solidFill>
            </a:rPr>
            <a:t> </a:t>
          </a:r>
          <a:endParaRPr lang="en-GB" sz="1100">
            <a:solidFill>
              <a:schemeClr val="tx2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47623</xdr:colOff>
      <xdr:row>2</xdr:row>
      <xdr:rowOff>42857</xdr:rowOff>
    </xdr:from>
    <xdr:to>
      <xdr:col>11</xdr:col>
      <xdr:colOff>200024</xdr:colOff>
      <xdr:row>23</xdr:row>
      <xdr:rowOff>157157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285750</xdr:colOff>
      <xdr:row>2</xdr:row>
      <xdr:rowOff>28575</xdr:rowOff>
    </xdr:from>
    <xdr:to>
      <xdr:col>14</xdr:col>
      <xdr:colOff>533400</xdr:colOff>
      <xdr:row>32</xdr:row>
      <xdr:rowOff>142875</xdr:rowOff>
    </xdr:to>
    <xdr:sp macro="" textlink="">
      <xdr:nvSpPr>
        <xdr:cNvPr id="3" name="TextBox 2"/>
        <xdr:cNvSpPr txBox="1"/>
      </xdr:nvSpPr>
      <xdr:spPr>
        <a:xfrm>
          <a:off x="6991350" y="485775"/>
          <a:ext cx="2076450" cy="5829300"/>
        </a:xfrm>
        <a:prstGeom prst="rect">
          <a:avLst/>
        </a:prstGeom>
        <a:solidFill>
          <a:schemeClr val="lt1"/>
        </a:solidFill>
        <a:ln w="25400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tx2"/>
              </a:solidFill>
            </a:rPr>
            <a:t>According the</a:t>
          </a:r>
          <a:r>
            <a:rPr lang="en-GB" sz="1100" baseline="0">
              <a:solidFill>
                <a:schemeClr val="tx2"/>
              </a:solidFill>
            </a:rPr>
            <a:t> 2016-household projections Birmingham's household numbers will reach 464 thousand by 2031.  This is an increase of  56 thousand households (13.8%), increasing at an average rate of 2.8 thousand each year. </a:t>
          </a:r>
        </a:p>
        <a:p>
          <a:endParaRPr lang="en-GB" sz="1100" baseline="0">
            <a:solidFill>
              <a:schemeClr val="tx2"/>
            </a:solidFill>
          </a:endParaRPr>
        </a:p>
        <a:p>
          <a:r>
            <a:rPr lang="en-GB" sz="1100" baseline="0">
              <a:solidFill>
                <a:schemeClr val="tx2"/>
              </a:solidFill>
            </a:rPr>
            <a:t>This is markedly lower than previous projections published in 2014 and 2012.  As can seen by the chart 2014 and 2012 projections are quite similar.  </a:t>
          </a:r>
        </a:p>
        <a:p>
          <a:endParaRPr lang="en-GB" sz="1100" baseline="0">
            <a:solidFill>
              <a:schemeClr val="tx2"/>
            </a:solidFill>
          </a:endParaRPr>
        </a:p>
        <a:p>
          <a:r>
            <a:rPr lang="en-GB" sz="1100" baseline="0">
              <a:solidFill>
                <a:schemeClr val="tx2"/>
              </a:solidFill>
            </a:rPr>
            <a:t>The 2014 projections suggested the number of households in Birmingham would reach 499 thousand by 2031, an increase of 21.3% since 2011, averaging  4.4 thousand each year</a:t>
          </a:r>
          <a:r>
            <a:rPr lang="en-GB" sz="1100" baseline="0"/>
            <a:t>.  </a:t>
          </a:r>
        </a:p>
        <a:p>
          <a:endParaRPr lang="en-GB" sz="1100" baseline="0">
            <a:solidFill>
              <a:schemeClr val="tx2"/>
            </a:solidFill>
          </a:endParaRPr>
        </a:p>
        <a:p>
          <a:r>
            <a:rPr lang="en-GB" sz="1100" baseline="0">
              <a:solidFill>
                <a:schemeClr val="tx2"/>
              </a:solidFill>
            </a:rPr>
            <a:t>Projected household growth for  2016-base was 30 thousand (33.8%) lower than the growth projected by the 2014 household projections. </a:t>
          </a:r>
        </a:p>
        <a:p>
          <a:r>
            <a:rPr lang="en-GB" sz="1100" baseline="0">
              <a:solidFill>
                <a:schemeClr val="tx2"/>
              </a:solidFill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ONS state that this slower</a:t>
          </a:r>
          <a:r>
            <a:rPr lang="en-GB" sz="1100" b="0" i="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growth r</a:t>
          </a:r>
          <a:r>
            <a:rPr lang="en-GB" sz="1100" b="0" i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eflects lower population projections - assumptions around future births, life expectancy and more up-to-date figures about living arrangements.</a:t>
          </a:r>
          <a:r>
            <a:rPr lang="en-GB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GB">
            <a:solidFill>
              <a:schemeClr val="tx2"/>
            </a:solidFill>
            <a:effectLst/>
          </a:endParaRPr>
        </a:p>
        <a:p>
          <a:endParaRPr lang="en-GB" sz="1100">
            <a:solidFill>
              <a:schemeClr val="tx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abSelected="1" workbookViewId="0">
      <selection activeCell="E37" sqref="E37"/>
    </sheetView>
  </sheetViews>
  <sheetFormatPr defaultRowHeight="15" x14ac:dyDescent="0.25"/>
  <cols>
    <col min="1" max="1" width="20.28515625" customWidth="1"/>
    <col min="13" max="13" width="19.140625" customWidth="1"/>
    <col min="14" max="14" width="19" customWidth="1"/>
  </cols>
  <sheetData>
    <row r="1" spans="1:1" ht="18.75" x14ac:dyDescent="0.3">
      <c r="A1" s="58" t="s">
        <v>134</v>
      </c>
    </row>
    <row r="3" spans="1:1" x14ac:dyDescent="0.25">
      <c r="A3" t="s">
        <v>154</v>
      </c>
    </row>
    <row r="4" spans="1:1" x14ac:dyDescent="0.25">
      <c r="A4" t="s">
        <v>162</v>
      </c>
    </row>
    <row r="5" spans="1:1" x14ac:dyDescent="0.25">
      <c r="A5" t="s">
        <v>164</v>
      </c>
    </row>
    <row r="7" spans="1:1" x14ac:dyDescent="0.25">
      <c r="A7" t="s">
        <v>135</v>
      </c>
    </row>
    <row r="8" spans="1:1" x14ac:dyDescent="0.25">
      <c r="A8" t="s">
        <v>136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173</v>
      </c>
    </row>
    <row r="13" spans="1:1" x14ac:dyDescent="0.25">
      <c r="A13" t="s">
        <v>157</v>
      </c>
    </row>
    <row r="14" spans="1:1" x14ac:dyDescent="0.25">
      <c r="A14" t="s">
        <v>163</v>
      </c>
    </row>
    <row r="16" spans="1:1" x14ac:dyDescent="0.25">
      <c r="A16" t="s">
        <v>172</v>
      </c>
    </row>
    <row r="17" spans="1:13" x14ac:dyDescent="0.25">
      <c r="A17" t="s">
        <v>171</v>
      </c>
    </row>
    <row r="19" spans="1:13" x14ac:dyDescent="0.25">
      <c r="A19" t="s">
        <v>174</v>
      </c>
    </row>
    <row r="20" spans="1:13" ht="15.75" thickBot="1" x14ac:dyDescent="0.3"/>
    <row r="21" spans="1:13" ht="18.75" x14ac:dyDescent="0.3">
      <c r="A21" s="101" t="s">
        <v>165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/>
    </row>
    <row r="22" spans="1:13" ht="15.75" thickBot="1" x14ac:dyDescent="0.3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1"/>
    </row>
    <row r="23" spans="1:13" x14ac:dyDescent="0.25">
      <c r="A23" s="92" t="s">
        <v>158</v>
      </c>
      <c r="B23" s="93" t="s">
        <v>167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4"/>
    </row>
    <row r="24" spans="1:13" ht="15.75" thickBot="1" x14ac:dyDescent="0.3">
      <c r="A24" s="95"/>
      <c r="B24" s="96" t="s">
        <v>166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7"/>
    </row>
    <row r="25" spans="1:13" x14ac:dyDescent="0.25">
      <c r="A25" s="92" t="s">
        <v>159</v>
      </c>
      <c r="B25" s="93" t="s">
        <v>160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4"/>
    </row>
    <row r="26" spans="1:13" ht="15.75" thickBot="1" x14ac:dyDescent="0.3">
      <c r="A26" s="98"/>
      <c r="B26" s="99" t="s">
        <v>161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100"/>
    </row>
    <row r="27" spans="1:13" x14ac:dyDescent="0.25">
      <c r="A27" s="105" t="s">
        <v>168</v>
      </c>
      <c r="B27" s="106" t="s">
        <v>169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7"/>
    </row>
    <row r="28" spans="1:13" ht="15.75" thickBot="1" x14ac:dyDescent="0.3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100"/>
    </row>
    <row r="29" spans="1:13" x14ac:dyDescent="0.25">
      <c r="A29" s="105" t="s">
        <v>179</v>
      </c>
      <c r="B29" s="106" t="s">
        <v>178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7"/>
    </row>
    <row r="30" spans="1:13" ht="15.75" thickBot="1" x14ac:dyDescent="0.3">
      <c r="A30" s="86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8"/>
    </row>
    <row r="31" spans="1:13" x14ac:dyDescent="0.25">
      <c r="A31" s="19" t="s">
        <v>61</v>
      </c>
      <c r="M31" s="47" t="s">
        <v>130</v>
      </c>
    </row>
  </sheetData>
  <sheetProtection sheet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U370"/>
  <sheetViews>
    <sheetView showGridLines="0" workbookViewId="0">
      <selection activeCell="E27" sqref="E27"/>
    </sheetView>
  </sheetViews>
  <sheetFormatPr defaultRowHeight="15" x14ac:dyDescent="0.25"/>
  <cols>
    <col min="36" max="36" width="9.85546875" customWidth="1"/>
    <col min="39" max="39" width="11.7109375" customWidth="1"/>
    <col min="41" max="53" width="0" hidden="1" customWidth="1"/>
    <col min="54" max="54" width="12.140625" bestFit="1" customWidth="1"/>
    <col min="56" max="70" width="0" hidden="1" customWidth="1"/>
  </cols>
  <sheetData>
    <row r="1" spans="1:96" ht="21" x14ac:dyDescent="0.35">
      <c r="A1" s="61" t="s">
        <v>153</v>
      </c>
      <c r="BB1" s="51" t="s">
        <v>96</v>
      </c>
      <c r="CD1" s="51"/>
      <c r="CO1" s="51"/>
    </row>
    <row r="2" spans="1:96" ht="18.75" x14ac:dyDescent="0.3">
      <c r="A2" s="58" t="s">
        <v>145</v>
      </c>
      <c r="BB2" s="52" t="s">
        <v>133</v>
      </c>
      <c r="CD2" s="52"/>
      <c r="CO2" s="52"/>
    </row>
    <row r="3" spans="1:96" x14ac:dyDescent="0.25">
      <c r="BB3" s="52" t="s">
        <v>19</v>
      </c>
      <c r="CD3" s="52"/>
      <c r="CO3" s="52"/>
    </row>
    <row r="4" spans="1:96" x14ac:dyDescent="0.25">
      <c r="BB4" s="52" t="s">
        <v>132</v>
      </c>
    </row>
    <row r="5" spans="1:96" x14ac:dyDescent="0.25">
      <c r="AR5" s="53" t="s">
        <v>98</v>
      </c>
      <c r="AS5" s="1">
        <v>2016</v>
      </c>
      <c r="AT5" s="1">
        <v>2041</v>
      </c>
      <c r="AU5" t="s">
        <v>139</v>
      </c>
      <c r="AV5" t="s">
        <v>140</v>
      </c>
      <c r="AW5" t="s">
        <v>8</v>
      </c>
      <c r="AX5" t="s">
        <v>137</v>
      </c>
    </row>
    <row r="6" spans="1:96" x14ac:dyDescent="0.25">
      <c r="AR6" s="54" t="s">
        <v>100</v>
      </c>
      <c r="AS6" s="25">
        <v>1595.8429999999998</v>
      </c>
      <c r="AT6" s="25">
        <v>1206.6990000000001</v>
      </c>
      <c r="AU6" s="25">
        <f t="shared" ref="AU6:AU22" si="0">AT6-AS6</f>
        <v>-389.14399999999978</v>
      </c>
      <c r="AV6" s="33">
        <f>AU6/25</f>
        <v>-15.56575999999999</v>
      </c>
      <c r="AW6" s="48">
        <f t="shared" ref="AW6:AW22" si="1">AU6/AS6*100</f>
        <v>-24.384854901140013</v>
      </c>
      <c r="AX6" s="48">
        <f t="shared" ref="AX6:AX22" si="2">AU6/$AU$22*100</f>
        <v>-0.49498915446331748</v>
      </c>
      <c r="BB6" t="s">
        <v>98</v>
      </c>
      <c r="BC6" t="s">
        <v>99</v>
      </c>
      <c r="BD6">
        <v>2001</v>
      </c>
      <c r="BE6">
        <v>2002</v>
      </c>
      <c r="BF6">
        <v>2003</v>
      </c>
      <c r="BG6">
        <v>2004</v>
      </c>
      <c r="BH6">
        <v>2005</v>
      </c>
      <c r="BI6">
        <v>2006</v>
      </c>
      <c r="BJ6">
        <v>2007</v>
      </c>
      <c r="BK6">
        <v>2008</v>
      </c>
      <c r="BL6">
        <v>2009</v>
      </c>
      <c r="BM6">
        <v>2010</v>
      </c>
      <c r="BN6">
        <v>2011</v>
      </c>
      <c r="BO6">
        <v>2012</v>
      </c>
      <c r="BP6">
        <v>2013</v>
      </c>
      <c r="BQ6">
        <v>2014</v>
      </c>
      <c r="BR6">
        <v>2015</v>
      </c>
      <c r="BS6">
        <v>2016</v>
      </c>
      <c r="BT6">
        <v>2017</v>
      </c>
      <c r="BU6">
        <v>2018</v>
      </c>
      <c r="BV6">
        <v>2019</v>
      </c>
      <c r="BW6">
        <v>2020</v>
      </c>
      <c r="BX6">
        <v>2021</v>
      </c>
      <c r="BY6">
        <v>2022</v>
      </c>
      <c r="BZ6">
        <v>2023</v>
      </c>
      <c r="CA6">
        <v>2024</v>
      </c>
      <c r="CB6">
        <v>2025</v>
      </c>
      <c r="CC6">
        <v>2026</v>
      </c>
      <c r="CD6">
        <v>2027</v>
      </c>
      <c r="CE6">
        <v>2028</v>
      </c>
      <c r="CF6">
        <v>2029</v>
      </c>
      <c r="CG6">
        <v>2030</v>
      </c>
      <c r="CH6">
        <v>2031</v>
      </c>
      <c r="CI6">
        <v>2032</v>
      </c>
      <c r="CJ6">
        <v>2033</v>
      </c>
      <c r="CK6">
        <v>2034</v>
      </c>
      <c r="CL6">
        <v>2035</v>
      </c>
      <c r="CM6">
        <v>2036</v>
      </c>
      <c r="CN6">
        <v>2037</v>
      </c>
      <c r="CO6">
        <v>2038</v>
      </c>
      <c r="CP6">
        <v>2039</v>
      </c>
      <c r="CQ6">
        <v>2040</v>
      </c>
      <c r="CR6">
        <v>2041</v>
      </c>
    </row>
    <row r="7" spans="1:96" x14ac:dyDescent="0.25">
      <c r="AR7" s="54" t="s">
        <v>101</v>
      </c>
      <c r="AS7" s="25">
        <v>18438.03</v>
      </c>
      <c r="AT7" s="25">
        <v>18346.518</v>
      </c>
      <c r="AU7" s="25">
        <f t="shared" si="0"/>
        <v>-91.511999999998807</v>
      </c>
      <c r="AV7" s="33">
        <f t="shared" ref="AV7:AV22" si="3">AU7/25</f>
        <v>-3.6604799999999522</v>
      </c>
      <c r="AW7" s="48">
        <f t="shared" si="1"/>
        <v>-0.49632200403187771</v>
      </c>
      <c r="AX7" s="48">
        <f t="shared" si="2"/>
        <v>-0.11640279049207117</v>
      </c>
      <c r="BB7" t="s">
        <v>100</v>
      </c>
      <c r="BC7" t="s">
        <v>97</v>
      </c>
      <c r="BD7">
        <v>4595.6720000000005</v>
      </c>
      <c r="BE7">
        <v>4335.1949999999997</v>
      </c>
      <c r="BF7">
        <v>4149.616</v>
      </c>
      <c r="BG7">
        <v>3909.1410000000005</v>
      </c>
      <c r="BH7">
        <v>3656.3070000000002</v>
      </c>
      <c r="BI7">
        <v>3391.6779999999999</v>
      </c>
      <c r="BJ7">
        <v>3169.9520000000002</v>
      </c>
      <c r="BK7">
        <v>2958.4670000000001</v>
      </c>
      <c r="BL7">
        <v>2808.4189999999999</v>
      </c>
      <c r="BM7">
        <v>2649.6219999999998</v>
      </c>
      <c r="BN7">
        <v>2334.96</v>
      </c>
      <c r="BO7">
        <v>2151.9659999999999</v>
      </c>
      <c r="BP7">
        <v>1995.2220000000002</v>
      </c>
      <c r="BQ7">
        <v>1847.4859999999999</v>
      </c>
      <c r="BR7">
        <v>1731.0500000000002</v>
      </c>
      <c r="BS7" s="48">
        <f t="shared" ref="BS7:CR7" si="4">BS27/1000</f>
        <v>1.5958429999999999</v>
      </c>
      <c r="BT7" s="48">
        <f t="shared" si="4"/>
        <v>1.4569850000000002</v>
      </c>
      <c r="BU7" s="48">
        <f t="shared" si="4"/>
        <v>1.3132190000000001</v>
      </c>
      <c r="BV7" s="48">
        <f t="shared" si="4"/>
        <v>1.1982660000000001</v>
      </c>
      <c r="BW7" s="48">
        <f t="shared" si="4"/>
        <v>1.1078730000000001</v>
      </c>
      <c r="BX7" s="48">
        <f t="shared" si="4"/>
        <v>1.0381420000000001</v>
      </c>
      <c r="BY7" s="48">
        <f t="shared" si="4"/>
        <v>1.0750679999999999</v>
      </c>
      <c r="BZ7" s="48">
        <f t="shared" si="4"/>
        <v>1.0979619999999999</v>
      </c>
      <c r="CA7" s="48">
        <f t="shared" si="4"/>
        <v>1.1239429999999999</v>
      </c>
      <c r="CB7" s="48">
        <f t="shared" si="4"/>
        <v>1.1462030000000001</v>
      </c>
      <c r="CC7" s="48">
        <f t="shared" si="4"/>
        <v>1.150479</v>
      </c>
      <c r="CD7" s="48">
        <f t="shared" si="4"/>
        <v>1.1696300000000002</v>
      </c>
      <c r="CE7" s="48">
        <f t="shared" si="4"/>
        <v>1.1852199999999999</v>
      </c>
      <c r="CF7" s="48">
        <f t="shared" si="4"/>
        <v>1.19896</v>
      </c>
      <c r="CG7" s="48">
        <f t="shared" si="4"/>
        <v>1.2143130000000002</v>
      </c>
      <c r="CH7" s="48">
        <f t="shared" si="4"/>
        <v>1.216145</v>
      </c>
      <c r="CI7" s="48">
        <f t="shared" si="4"/>
        <v>1.2074450000000001</v>
      </c>
      <c r="CJ7" s="48">
        <f t="shared" si="4"/>
        <v>1.1951179999999999</v>
      </c>
      <c r="CK7" s="48">
        <f t="shared" si="4"/>
        <v>1.1937990000000001</v>
      </c>
      <c r="CL7" s="48">
        <f t="shared" si="4"/>
        <v>1.1960109999999999</v>
      </c>
      <c r="CM7" s="48">
        <f t="shared" si="4"/>
        <v>1.191864</v>
      </c>
      <c r="CN7" s="48">
        <f t="shared" si="4"/>
        <v>1.1985380000000001</v>
      </c>
      <c r="CO7" s="48">
        <f t="shared" si="4"/>
        <v>1.2003949999999999</v>
      </c>
      <c r="CP7" s="48">
        <f t="shared" si="4"/>
        <v>1.2025699999999999</v>
      </c>
      <c r="CQ7" s="48">
        <f t="shared" si="4"/>
        <v>1.2049320000000001</v>
      </c>
      <c r="CR7" s="48">
        <f t="shared" si="4"/>
        <v>1.206699</v>
      </c>
    </row>
    <row r="8" spans="1:96" x14ac:dyDescent="0.25">
      <c r="AR8" s="54" t="s">
        <v>102</v>
      </c>
      <c r="AS8" s="25">
        <v>31834.31</v>
      </c>
      <c r="AT8" s="25">
        <v>34406.42</v>
      </c>
      <c r="AU8" s="25">
        <f t="shared" si="0"/>
        <v>2572.1099999999969</v>
      </c>
      <c r="AV8" s="33">
        <f t="shared" si="3"/>
        <v>102.88439999999987</v>
      </c>
      <c r="AW8" s="48">
        <f t="shared" si="1"/>
        <v>8.0796788119484813</v>
      </c>
      <c r="AX8" s="48">
        <f t="shared" si="2"/>
        <v>3.2717106112047025</v>
      </c>
      <c r="BB8" t="s">
        <v>101</v>
      </c>
      <c r="BC8" t="s">
        <v>97</v>
      </c>
      <c r="BD8">
        <v>18606.004999999997</v>
      </c>
      <c r="BE8">
        <v>19249.213</v>
      </c>
      <c r="BF8">
        <v>19910.371999999999</v>
      </c>
      <c r="BG8">
        <v>20644.5</v>
      </c>
      <c r="BH8">
        <v>21018.886999999999</v>
      </c>
      <c r="BI8">
        <v>20635.080000000002</v>
      </c>
      <c r="BJ8">
        <v>20348.646000000001</v>
      </c>
      <c r="BK8">
        <v>19832.628000000001</v>
      </c>
      <c r="BL8">
        <v>19091.803</v>
      </c>
      <c r="BM8">
        <v>18806.811000000002</v>
      </c>
      <c r="BN8">
        <v>18507.839</v>
      </c>
      <c r="BO8">
        <v>18730.09</v>
      </c>
      <c r="BP8">
        <v>18409.192999999999</v>
      </c>
      <c r="BQ8">
        <v>18355.705999999998</v>
      </c>
      <c r="BR8">
        <v>18333.116000000002</v>
      </c>
      <c r="BS8" s="48">
        <f t="shared" ref="BS8:BS14" si="5">BS28/1000</f>
        <v>18.438029999999998</v>
      </c>
      <c r="BT8" s="48">
        <f t="shared" ref="BT8:CH8" si="6">BT28/1000</f>
        <v>18.147512000000003</v>
      </c>
      <c r="BU8" s="48">
        <f t="shared" si="6"/>
        <v>17.899107000000001</v>
      </c>
      <c r="BV8" s="48">
        <f t="shared" si="6"/>
        <v>17.479015999999998</v>
      </c>
      <c r="BW8" s="48">
        <f t="shared" si="6"/>
        <v>17.045152999999999</v>
      </c>
      <c r="BX8" s="48">
        <f t="shared" si="6"/>
        <v>16.477675999999999</v>
      </c>
      <c r="BY8" s="48">
        <f t="shared" si="6"/>
        <v>16.169582999999999</v>
      </c>
      <c r="BZ8" s="48">
        <f t="shared" si="6"/>
        <v>15.959445000000001</v>
      </c>
      <c r="CA8" s="48">
        <f t="shared" si="6"/>
        <v>15.921187000000002</v>
      </c>
      <c r="CB8" s="48">
        <f t="shared" si="6"/>
        <v>16.052315999999998</v>
      </c>
      <c r="CC8" s="48">
        <f t="shared" si="6"/>
        <v>16.364453999999999</v>
      </c>
      <c r="CD8" s="48">
        <f t="shared" si="6"/>
        <v>16.759751999999999</v>
      </c>
      <c r="CE8" s="48">
        <f t="shared" si="6"/>
        <v>17.217921999999998</v>
      </c>
      <c r="CF8" s="48">
        <f t="shared" si="6"/>
        <v>17.592153</v>
      </c>
      <c r="CG8" s="48">
        <f t="shared" si="6"/>
        <v>17.853888999999999</v>
      </c>
      <c r="CH8" s="48">
        <f t="shared" si="6"/>
        <v>18.099612999999998</v>
      </c>
      <c r="CI8" s="48">
        <f t="shared" ref="CI8:CR8" si="7">CI28/1000</f>
        <v>18.440909000000001</v>
      </c>
      <c r="CJ8" s="48">
        <f t="shared" si="7"/>
        <v>18.593046999999999</v>
      </c>
      <c r="CK8" s="48">
        <f t="shared" si="7"/>
        <v>18.670805000000001</v>
      </c>
      <c r="CL8" s="48">
        <f t="shared" si="7"/>
        <v>18.712953999999996</v>
      </c>
      <c r="CM8" s="48">
        <f t="shared" si="7"/>
        <v>18.706565000000001</v>
      </c>
      <c r="CN8" s="48">
        <f t="shared" si="7"/>
        <v>18.497405000000001</v>
      </c>
      <c r="CO8" s="48">
        <f t="shared" si="7"/>
        <v>18.412205999999998</v>
      </c>
      <c r="CP8" s="48">
        <f t="shared" si="7"/>
        <v>18.384667</v>
      </c>
      <c r="CQ8" s="48">
        <f t="shared" si="7"/>
        <v>18.37725</v>
      </c>
      <c r="CR8" s="48">
        <f t="shared" si="7"/>
        <v>18.346518</v>
      </c>
    </row>
    <row r="9" spans="1:96" x14ac:dyDescent="0.25">
      <c r="AR9" s="54" t="s">
        <v>103</v>
      </c>
      <c r="AS9" s="25">
        <v>38621.619999999995</v>
      </c>
      <c r="AT9" s="25">
        <v>42975.979999999996</v>
      </c>
      <c r="AU9" s="25">
        <f t="shared" si="0"/>
        <v>4354.3600000000006</v>
      </c>
      <c r="AV9" s="33">
        <f t="shared" si="3"/>
        <v>174.17440000000002</v>
      </c>
      <c r="AW9" s="48">
        <f t="shared" si="1"/>
        <v>11.274410550360138</v>
      </c>
      <c r="AX9" s="48">
        <f t="shared" si="2"/>
        <v>5.538723389359447</v>
      </c>
      <c r="BB9" t="s">
        <v>102</v>
      </c>
      <c r="BC9" t="s">
        <v>97</v>
      </c>
      <c r="BD9">
        <v>29833.040000000001</v>
      </c>
      <c r="BE9">
        <v>29090.33</v>
      </c>
      <c r="BF9">
        <v>28666.010000000002</v>
      </c>
      <c r="BG9">
        <v>28798.46</v>
      </c>
      <c r="BH9">
        <v>30129.040000000001</v>
      </c>
      <c r="BI9">
        <v>30936.15</v>
      </c>
      <c r="BJ9">
        <v>31867.439999999999</v>
      </c>
      <c r="BK9">
        <v>32756.39</v>
      </c>
      <c r="BL9">
        <v>32577.43</v>
      </c>
      <c r="BM9">
        <v>32094.959999999999</v>
      </c>
      <c r="BN9">
        <v>31531.360000000001</v>
      </c>
      <c r="BO9">
        <v>31297.79</v>
      </c>
      <c r="BP9">
        <v>30923.03</v>
      </c>
      <c r="BQ9">
        <v>30829.759999999998</v>
      </c>
      <c r="BR9">
        <v>31011.260000000002</v>
      </c>
      <c r="BS9" s="48">
        <f t="shared" si="5"/>
        <v>31.834310000000002</v>
      </c>
      <c r="BT9" s="48">
        <f t="shared" ref="BT9:CH9" si="8">BT29/1000</f>
        <v>32.187409999999993</v>
      </c>
      <c r="BU9" s="48">
        <f t="shared" si="8"/>
        <v>32.320959999999999</v>
      </c>
      <c r="BV9" s="48">
        <f t="shared" si="8"/>
        <v>32.443390000000001</v>
      </c>
      <c r="BW9" s="48">
        <f t="shared" si="8"/>
        <v>32.148620000000001</v>
      </c>
      <c r="BX9" s="48">
        <f t="shared" si="8"/>
        <v>31.612779999999997</v>
      </c>
      <c r="BY9" s="48">
        <f t="shared" si="8"/>
        <v>31.543940000000003</v>
      </c>
      <c r="BZ9" s="48">
        <f t="shared" si="8"/>
        <v>31.510159999999999</v>
      </c>
      <c r="CA9" s="48">
        <f t="shared" si="8"/>
        <v>31.276820000000001</v>
      </c>
      <c r="CB9" s="48">
        <f t="shared" si="8"/>
        <v>31.042349999999999</v>
      </c>
      <c r="CC9" s="48">
        <f t="shared" si="8"/>
        <v>30.597909999999999</v>
      </c>
      <c r="CD9" s="48">
        <f t="shared" si="8"/>
        <v>30.023260000000001</v>
      </c>
      <c r="CE9" s="48">
        <f t="shared" si="8"/>
        <v>29.665370000000003</v>
      </c>
      <c r="CF9" s="48">
        <f t="shared" si="8"/>
        <v>29.57396</v>
      </c>
      <c r="CG9" s="48">
        <f t="shared" si="8"/>
        <v>29.761140000000001</v>
      </c>
      <c r="CH9" s="48">
        <f t="shared" si="8"/>
        <v>30.280730000000002</v>
      </c>
      <c r="CI9" s="48">
        <f t="shared" ref="CI9:CR9" si="9">CI29/1000</f>
        <v>31.000629999999997</v>
      </c>
      <c r="CJ9" s="48">
        <f t="shared" si="9"/>
        <v>31.809429999999999</v>
      </c>
      <c r="CK9" s="48">
        <f t="shared" si="9"/>
        <v>32.453870000000002</v>
      </c>
      <c r="CL9" s="48">
        <f t="shared" si="9"/>
        <v>32.971729999999994</v>
      </c>
      <c r="CM9" s="48">
        <f t="shared" si="9"/>
        <v>33.430099999999996</v>
      </c>
      <c r="CN9" s="48">
        <f t="shared" si="9"/>
        <v>34.002429999999997</v>
      </c>
      <c r="CO9" s="48">
        <f t="shared" si="9"/>
        <v>34.239699999999999</v>
      </c>
      <c r="CP9" s="48">
        <f t="shared" si="9"/>
        <v>34.370729999999995</v>
      </c>
      <c r="CQ9" s="48">
        <f t="shared" si="9"/>
        <v>34.436800000000005</v>
      </c>
      <c r="CR9" s="48">
        <f t="shared" si="9"/>
        <v>34.406419999999997</v>
      </c>
    </row>
    <row r="10" spans="1:96" x14ac:dyDescent="0.25">
      <c r="AR10" s="54" t="s">
        <v>104</v>
      </c>
      <c r="AS10" s="25">
        <v>41484.589999999997</v>
      </c>
      <c r="AT10" s="25">
        <v>43833.79</v>
      </c>
      <c r="AU10" s="25">
        <f t="shared" si="0"/>
        <v>2349.2000000000044</v>
      </c>
      <c r="AV10" s="33">
        <f t="shared" si="3"/>
        <v>93.968000000000174</v>
      </c>
      <c r="AW10" s="48">
        <f t="shared" si="1"/>
        <v>5.6628256420034635</v>
      </c>
      <c r="AX10" s="48">
        <f t="shared" si="2"/>
        <v>2.988170244601557</v>
      </c>
      <c r="BB10" t="s">
        <v>103</v>
      </c>
      <c r="BC10" t="s">
        <v>97</v>
      </c>
      <c r="BD10">
        <v>41594.839999999997</v>
      </c>
      <c r="BE10">
        <v>40745.870000000003</v>
      </c>
      <c r="BF10">
        <v>39640.909999999996</v>
      </c>
      <c r="BG10">
        <v>38379.800000000003</v>
      </c>
      <c r="BH10">
        <v>37618.5</v>
      </c>
      <c r="BI10">
        <v>36651.279999999999</v>
      </c>
      <c r="BJ10">
        <v>35946.04</v>
      </c>
      <c r="BK10">
        <v>35971.160000000003</v>
      </c>
      <c r="BL10">
        <v>36705.78</v>
      </c>
      <c r="BM10">
        <v>37785.47</v>
      </c>
      <c r="BN10">
        <v>38661.03</v>
      </c>
      <c r="BO10">
        <v>38873.360000000001</v>
      </c>
      <c r="BP10">
        <v>39260.78</v>
      </c>
      <c r="BQ10">
        <v>38952.639999999999</v>
      </c>
      <c r="BR10">
        <v>38670.46</v>
      </c>
      <c r="BS10" s="48">
        <f t="shared" si="5"/>
        <v>38.621619999999993</v>
      </c>
      <c r="BT10" s="48">
        <f t="shared" ref="BT10:CH10" si="10">BT30/1000</f>
        <v>38.623840000000001</v>
      </c>
      <c r="BU10" s="48">
        <f t="shared" si="10"/>
        <v>38.477919999999997</v>
      </c>
      <c r="BV10" s="48">
        <f t="shared" si="10"/>
        <v>38.669800000000002</v>
      </c>
      <c r="BW10" s="48">
        <f t="shared" si="10"/>
        <v>38.872879999999995</v>
      </c>
      <c r="BX10" s="48">
        <f t="shared" si="10"/>
        <v>39.508840000000006</v>
      </c>
      <c r="BY10" s="48">
        <f t="shared" si="10"/>
        <v>40.257869999999997</v>
      </c>
      <c r="BZ10" s="48">
        <f t="shared" si="10"/>
        <v>40.724080000000001</v>
      </c>
      <c r="CA10" s="48">
        <f t="shared" si="10"/>
        <v>41.186759999999992</v>
      </c>
      <c r="CB10" s="48">
        <f t="shared" si="10"/>
        <v>41.155680000000004</v>
      </c>
      <c r="CC10" s="48">
        <f t="shared" si="10"/>
        <v>40.858009999999993</v>
      </c>
      <c r="CD10" s="48">
        <f t="shared" si="10"/>
        <v>40.705280000000002</v>
      </c>
      <c r="CE10" s="48">
        <f t="shared" si="10"/>
        <v>40.573770000000003</v>
      </c>
      <c r="CF10" s="48">
        <f t="shared" si="10"/>
        <v>40.226369999999996</v>
      </c>
      <c r="CG10" s="48">
        <f t="shared" si="10"/>
        <v>39.881029999999996</v>
      </c>
      <c r="CH10" s="48">
        <f t="shared" si="10"/>
        <v>39.284979999999997</v>
      </c>
      <c r="CI10" s="48">
        <f t="shared" ref="CI10:CR10" si="11">CI30/1000</f>
        <v>38.531599999999997</v>
      </c>
      <c r="CJ10" s="48">
        <f t="shared" si="11"/>
        <v>38.076480000000004</v>
      </c>
      <c r="CK10" s="48">
        <f t="shared" si="11"/>
        <v>37.958120000000001</v>
      </c>
      <c r="CL10" s="48">
        <f t="shared" si="11"/>
        <v>38.190539999999999</v>
      </c>
      <c r="CM10" s="48">
        <f t="shared" si="11"/>
        <v>38.86009</v>
      </c>
      <c r="CN10" s="48">
        <f t="shared" si="11"/>
        <v>39.798769999999998</v>
      </c>
      <c r="CO10" s="48">
        <f t="shared" si="11"/>
        <v>40.849089999999997</v>
      </c>
      <c r="CP10" s="48">
        <f t="shared" si="11"/>
        <v>41.674370000000003</v>
      </c>
      <c r="CQ10" s="48">
        <f t="shared" si="11"/>
        <v>42.369479999999996</v>
      </c>
      <c r="CR10" s="48">
        <f t="shared" si="11"/>
        <v>42.975979999999993</v>
      </c>
    </row>
    <row r="11" spans="1:96" x14ac:dyDescent="0.25">
      <c r="AR11" s="54" t="s">
        <v>105</v>
      </c>
      <c r="AS11" s="25">
        <v>41298.120000000003</v>
      </c>
      <c r="AT11" s="25">
        <v>46309.11</v>
      </c>
      <c r="AU11" s="25">
        <f t="shared" si="0"/>
        <v>5010.989999999998</v>
      </c>
      <c r="AV11" s="33">
        <f t="shared" si="3"/>
        <v>200.43959999999993</v>
      </c>
      <c r="AW11" s="48">
        <f t="shared" si="1"/>
        <v>12.133700032834419</v>
      </c>
      <c r="AX11" s="48">
        <f t="shared" si="2"/>
        <v>6.373953351777593</v>
      </c>
      <c r="BB11" t="s">
        <v>104</v>
      </c>
      <c r="BC11" t="s">
        <v>97</v>
      </c>
      <c r="BD11">
        <v>42222.990000000005</v>
      </c>
      <c r="BE11">
        <v>42855.56</v>
      </c>
      <c r="BF11">
        <v>43185.94</v>
      </c>
      <c r="BG11">
        <v>43215.83</v>
      </c>
      <c r="BH11">
        <v>43428.42</v>
      </c>
      <c r="BI11">
        <v>43025.55</v>
      </c>
      <c r="BJ11">
        <v>42559.56</v>
      </c>
      <c r="BK11">
        <v>41884.46</v>
      </c>
      <c r="BL11">
        <v>41246.17</v>
      </c>
      <c r="BM11">
        <v>40528.83</v>
      </c>
      <c r="BN11">
        <v>40313.4</v>
      </c>
      <c r="BO11">
        <v>39833</v>
      </c>
      <c r="BP11">
        <v>39316.620000000003</v>
      </c>
      <c r="BQ11">
        <v>39701.590000000004</v>
      </c>
      <c r="BR11">
        <v>40656.400000000001</v>
      </c>
      <c r="BS11" s="48">
        <f t="shared" si="5"/>
        <v>41.484589999999997</v>
      </c>
      <c r="BT11" s="48">
        <f t="shared" ref="BT11:CH11" si="12">BT31/1000</f>
        <v>42.114170000000001</v>
      </c>
      <c r="BU11" s="48">
        <f t="shared" si="12"/>
        <v>42.92662</v>
      </c>
      <c r="BV11" s="48">
        <f t="shared" si="12"/>
        <v>42.939229999999995</v>
      </c>
      <c r="BW11" s="48">
        <f t="shared" si="12"/>
        <v>42.751509999999996</v>
      </c>
      <c r="BX11" s="48">
        <f t="shared" si="12"/>
        <v>42.687370000000001</v>
      </c>
      <c r="BY11" s="48">
        <f t="shared" si="12"/>
        <v>42.970619999999997</v>
      </c>
      <c r="BZ11" s="48">
        <f t="shared" si="12"/>
        <v>43.147690000000004</v>
      </c>
      <c r="CA11" s="48">
        <f t="shared" si="12"/>
        <v>43.661000000000001</v>
      </c>
      <c r="CB11" s="48">
        <f t="shared" si="12"/>
        <v>44.184280000000001</v>
      </c>
      <c r="CC11" s="48">
        <f t="shared" si="12"/>
        <v>45.170110000000001</v>
      </c>
      <c r="CD11" s="48">
        <f t="shared" si="12"/>
        <v>45.94247</v>
      </c>
      <c r="CE11" s="48">
        <f t="shared" si="12"/>
        <v>46.389720000000004</v>
      </c>
      <c r="CF11" s="48">
        <f t="shared" si="12"/>
        <v>46.829490000000007</v>
      </c>
      <c r="CG11" s="48">
        <f t="shared" si="12"/>
        <v>46.726169999999996</v>
      </c>
      <c r="CH11" s="48">
        <f t="shared" si="12"/>
        <v>46.322360000000003</v>
      </c>
      <c r="CI11" s="48">
        <f t="shared" ref="CI11:CR11" si="13">CI31/1000</f>
        <v>46.104140000000001</v>
      </c>
      <c r="CJ11" s="48">
        <f t="shared" si="13"/>
        <v>45.896790000000003</v>
      </c>
      <c r="CK11" s="48">
        <f t="shared" si="13"/>
        <v>45.464660000000002</v>
      </c>
      <c r="CL11" s="48">
        <f t="shared" si="13"/>
        <v>45.044319999999999</v>
      </c>
      <c r="CM11" s="48">
        <f t="shared" si="13"/>
        <v>44.352150000000002</v>
      </c>
      <c r="CN11" s="48">
        <f t="shared" si="13"/>
        <v>43.484250000000003</v>
      </c>
      <c r="CO11" s="48">
        <f t="shared" si="13"/>
        <v>42.959690000000002</v>
      </c>
      <c r="CP11" s="48">
        <f t="shared" si="13"/>
        <v>42.8172</v>
      </c>
      <c r="CQ11" s="48">
        <f t="shared" si="13"/>
        <v>43.07246</v>
      </c>
      <c r="CR11" s="48">
        <f t="shared" si="13"/>
        <v>43.83379</v>
      </c>
    </row>
    <row r="12" spans="1:96" x14ac:dyDescent="0.25">
      <c r="AR12" s="54" t="s">
        <v>106</v>
      </c>
      <c r="AS12" s="25">
        <v>43822.93</v>
      </c>
      <c r="AT12" s="25">
        <v>48568.57</v>
      </c>
      <c r="AU12" s="25">
        <f t="shared" si="0"/>
        <v>4745.6399999999994</v>
      </c>
      <c r="AV12" s="33">
        <f t="shared" si="3"/>
        <v>189.82559999999998</v>
      </c>
      <c r="AW12" s="48">
        <f t="shared" si="1"/>
        <v>10.82912530038498</v>
      </c>
      <c r="AX12" s="48">
        <f t="shared" si="2"/>
        <v>6.0364295247705195</v>
      </c>
      <c r="BB12" t="s">
        <v>105</v>
      </c>
      <c r="BC12" t="s">
        <v>97</v>
      </c>
      <c r="BD12">
        <v>37588.1</v>
      </c>
      <c r="BE12">
        <v>38483.360000000001</v>
      </c>
      <c r="BF12">
        <v>39324.699999999997</v>
      </c>
      <c r="BG12">
        <v>40026.050000000003</v>
      </c>
      <c r="BH12">
        <v>41065.770000000004</v>
      </c>
      <c r="BI12">
        <v>41784.61</v>
      </c>
      <c r="BJ12">
        <v>42381.36</v>
      </c>
      <c r="BK12">
        <v>42853.760000000002</v>
      </c>
      <c r="BL12">
        <v>43297.31</v>
      </c>
      <c r="BM12">
        <v>43469.11</v>
      </c>
      <c r="BN12">
        <v>43512.3</v>
      </c>
      <c r="BO12">
        <v>43409.47</v>
      </c>
      <c r="BP12">
        <v>42986.39</v>
      </c>
      <c r="BQ12">
        <v>42329.240000000005</v>
      </c>
      <c r="BR12">
        <v>41585.78</v>
      </c>
      <c r="BS12" s="48">
        <f t="shared" si="5"/>
        <v>41.298120000000004</v>
      </c>
      <c r="BT12" s="48">
        <f t="shared" ref="BT12:CH12" si="14">BT32/1000</f>
        <v>40.691759999999995</v>
      </c>
      <c r="BU12" s="48">
        <f t="shared" si="14"/>
        <v>40.461850000000005</v>
      </c>
      <c r="BV12" s="48">
        <f t="shared" si="14"/>
        <v>41.06418</v>
      </c>
      <c r="BW12" s="48">
        <f t="shared" si="14"/>
        <v>42.178130000000003</v>
      </c>
      <c r="BX12" s="48">
        <f t="shared" si="14"/>
        <v>43.063190000000006</v>
      </c>
      <c r="BY12" s="48">
        <f t="shared" si="14"/>
        <v>43.869099999999996</v>
      </c>
      <c r="BZ12" s="48">
        <f t="shared" si="14"/>
        <v>44.820329999999998</v>
      </c>
      <c r="CA12" s="48">
        <f t="shared" si="14"/>
        <v>44.974640000000001</v>
      </c>
      <c r="CB12" s="48">
        <f t="shared" si="14"/>
        <v>44.911709999999999</v>
      </c>
      <c r="CC12" s="48">
        <f t="shared" si="14"/>
        <v>44.988190000000003</v>
      </c>
      <c r="CD12" s="48">
        <f t="shared" si="14"/>
        <v>45.27319</v>
      </c>
      <c r="CE12" s="48">
        <f t="shared" si="14"/>
        <v>45.489309999999996</v>
      </c>
      <c r="CF12" s="48">
        <f t="shared" si="14"/>
        <v>46.021770000000004</v>
      </c>
      <c r="CG12" s="48">
        <f t="shared" si="14"/>
        <v>46.556089999999998</v>
      </c>
      <c r="CH12" s="48">
        <f t="shared" si="14"/>
        <v>47.536439999999999</v>
      </c>
      <c r="CI12" s="48">
        <f t="shared" ref="CI12:CR12" si="15">CI32/1000</f>
        <v>48.294839999999994</v>
      </c>
      <c r="CJ12" s="48">
        <f t="shared" si="15"/>
        <v>48.702449999999999</v>
      </c>
      <c r="CK12" s="48">
        <f t="shared" si="15"/>
        <v>49.103940000000001</v>
      </c>
      <c r="CL12" s="48">
        <f t="shared" si="15"/>
        <v>48.951560000000001</v>
      </c>
      <c r="CM12" s="48">
        <f t="shared" si="15"/>
        <v>48.491479999999996</v>
      </c>
      <c r="CN12" s="48">
        <f t="shared" si="15"/>
        <v>48.23</v>
      </c>
      <c r="CO12" s="48">
        <f t="shared" si="15"/>
        <v>47.977729999999994</v>
      </c>
      <c r="CP12" s="48">
        <f t="shared" si="15"/>
        <v>47.502300000000005</v>
      </c>
      <c r="CQ12" s="48">
        <f t="shared" si="15"/>
        <v>47.043660000000003</v>
      </c>
      <c r="CR12" s="48">
        <f t="shared" si="15"/>
        <v>46.309110000000004</v>
      </c>
    </row>
    <row r="13" spans="1:96" x14ac:dyDescent="0.25">
      <c r="AR13" s="54" t="s">
        <v>107</v>
      </c>
      <c r="AS13" s="25">
        <v>41985.229999999996</v>
      </c>
      <c r="AT13" s="25">
        <v>46444.03</v>
      </c>
      <c r="AU13" s="25">
        <f t="shared" si="0"/>
        <v>4458.8000000000029</v>
      </c>
      <c r="AV13" s="33">
        <f t="shared" si="3"/>
        <v>178.35200000000012</v>
      </c>
      <c r="AW13" s="48">
        <f t="shared" si="1"/>
        <v>10.619925149868187</v>
      </c>
      <c r="AX13" s="48">
        <f t="shared" si="2"/>
        <v>5.6715705289585419</v>
      </c>
      <c r="BB13" t="s">
        <v>106</v>
      </c>
      <c r="BC13" t="s">
        <v>97</v>
      </c>
      <c r="BD13">
        <v>33235.56</v>
      </c>
      <c r="BE13">
        <v>33609.490000000005</v>
      </c>
      <c r="BF13">
        <v>34176.28</v>
      </c>
      <c r="BG13">
        <v>34914.660000000003</v>
      </c>
      <c r="BH13">
        <v>35901.479999999996</v>
      </c>
      <c r="BI13">
        <v>37016.9</v>
      </c>
      <c r="BJ13">
        <v>38081.919999999998</v>
      </c>
      <c r="BK13">
        <v>39200.14</v>
      </c>
      <c r="BL13">
        <v>40380.79</v>
      </c>
      <c r="BM13">
        <v>41589.160000000003</v>
      </c>
      <c r="BN13">
        <v>42477.61</v>
      </c>
      <c r="BO13">
        <v>42769.880000000005</v>
      </c>
      <c r="BP13">
        <v>43054.8</v>
      </c>
      <c r="BQ13">
        <v>43365.85</v>
      </c>
      <c r="BR13">
        <v>43553.86</v>
      </c>
      <c r="BS13" s="48">
        <f t="shared" si="5"/>
        <v>43.822929999999999</v>
      </c>
      <c r="BT13" s="48">
        <f t="shared" ref="BT13:CH13" si="16">BT33/1000</f>
        <v>43.910270000000004</v>
      </c>
      <c r="BU13" s="48">
        <f t="shared" si="16"/>
        <v>43.487759999999994</v>
      </c>
      <c r="BV13" s="48">
        <f t="shared" si="16"/>
        <v>42.924160000000001</v>
      </c>
      <c r="BW13" s="48">
        <f t="shared" si="16"/>
        <v>42.341830000000002</v>
      </c>
      <c r="BX13" s="48">
        <f t="shared" si="16"/>
        <v>41.791460000000008</v>
      </c>
      <c r="BY13" s="48">
        <f t="shared" si="16"/>
        <v>41.078690000000002</v>
      </c>
      <c r="BZ13" s="48">
        <f t="shared" si="16"/>
        <v>40.768009999999997</v>
      </c>
      <c r="CA13" s="48">
        <f t="shared" si="16"/>
        <v>41.30095</v>
      </c>
      <c r="CB13" s="48">
        <f t="shared" si="16"/>
        <v>42.370739999999998</v>
      </c>
      <c r="CC13" s="48">
        <f t="shared" si="16"/>
        <v>43.230779999999996</v>
      </c>
      <c r="CD13" s="48">
        <f t="shared" si="16"/>
        <v>44.068770000000001</v>
      </c>
      <c r="CE13" s="48">
        <f t="shared" si="16"/>
        <v>45.028750000000002</v>
      </c>
      <c r="CF13" s="48">
        <f t="shared" si="16"/>
        <v>45.208910000000003</v>
      </c>
      <c r="CG13" s="48">
        <f t="shared" si="16"/>
        <v>45.159179999999999</v>
      </c>
      <c r="CH13" s="48">
        <f t="shared" si="16"/>
        <v>45.251559999999998</v>
      </c>
      <c r="CI13" s="48">
        <f t="shared" ref="CI13:CR13" si="17">CI33/1000</f>
        <v>45.538600000000002</v>
      </c>
      <c r="CJ13" s="48">
        <f t="shared" si="17"/>
        <v>45.774050000000003</v>
      </c>
      <c r="CK13" s="48">
        <f t="shared" si="17"/>
        <v>46.298629999999996</v>
      </c>
      <c r="CL13" s="48">
        <f t="shared" si="17"/>
        <v>46.817320000000002</v>
      </c>
      <c r="CM13" s="48">
        <f t="shared" si="17"/>
        <v>47.757809999999999</v>
      </c>
      <c r="CN13" s="48">
        <f t="shared" si="17"/>
        <v>48.484089999999995</v>
      </c>
      <c r="CO13" s="48">
        <f t="shared" si="17"/>
        <v>48.856209999999997</v>
      </c>
      <c r="CP13" s="48">
        <f t="shared" si="17"/>
        <v>49.221550000000001</v>
      </c>
      <c r="CQ13" s="48">
        <f t="shared" si="17"/>
        <v>49.045529999999999</v>
      </c>
      <c r="CR13" s="48">
        <f t="shared" si="17"/>
        <v>48.568570000000001</v>
      </c>
    </row>
    <row r="14" spans="1:96" x14ac:dyDescent="0.25">
      <c r="AR14" s="54" t="s">
        <v>108</v>
      </c>
      <c r="AS14" s="25">
        <v>34645.440000000002</v>
      </c>
      <c r="AT14" s="25">
        <v>40773.32</v>
      </c>
      <c r="AU14" s="25">
        <f t="shared" si="0"/>
        <v>6127.8799999999974</v>
      </c>
      <c r="AV14" s="33">
        <f t="shared" si="3"/>
        <v>245.1151999999999</v>
      </c>
      <c r="AW14" s="48">
        <f t="shared" si="1"/>
        <v>17.687407058475795</v>
      </c>
      <c r="AX14" s="48">
        <f t="shared" si="2"/>
        <v>7.794631652685573</v>
      </c>
      <c r="BB14" t="s">
        <v>107</v>
      </c>
      <c r="BC14" t="s">
        <v>97</v>
      </c>
      <c r="BD14">
        <v>32827.75</v>
      </c>
      <c r="BE14">
        <v>32234.73</v>
      </c>
      <c r="BF14">
        <v>31931.25</v>
      </c>
      <c r="BG14">
        <v>31843.829999999998</v>
      </c>
      <c r="BH14">
        <v>31998.379999999997</v>
      </c>
      <c r="BI14">
        <v>32449.170000000002</v>
      </c>
      <c r="BJ14">
        <v>33025.06</v>
      </c>
      <c r="BK14">
        <v>33765.129999999997</v>
      </c>
      <c r="BL14">
        <v>34656.659999999996</v>
      </c>
      <c r="BM14">
        <v>35524.68</v>
      </c>
      <c r="BN14">
        <v>36736.68</v>
      </c>
      <c r="BO14">
        <v>38068.36</v>
      </c>
      <c r="BP14">
        <v>39114.25</v>
      </c>
      <c r="BQ14">
        <v>40169.509999999995</v>
      </c>
      <c r="BR14">
        <v>41176.229999999996</v>
      </c>
      <c r="BS14" s="48">
        <f t="shared" si="5"/>
        <v>41.985229999999994</v>
      </c>
      <c r="BT14" s="48">
        <f t="shared" ref="BT14:CH14" si="18">BT34/1000</f>
        <v>42.230690000000003</v>
      </c>
      <c r="BU14" s="48">
        <f t="shared" si="18"/>
        <v>42.60568</v>
      </c>
      <c r="BV14" s="48">
        <f t="shared" si="18"/>
        <v>42.8812</v>
      </c>
      <c r="BW14" s="48">
        <f t="shared" si="18"/>
        <v>43.116279999999996</v>
      </c>
      <c r="BX14" s="48">
        <f t="shared" si="18"/>
        <v>43.295209999999997</v>
      </c>
      <c r="BY14" s="48">
        <f t="shared" si="18"/>
        <v>43.23236</v>
      </c>
      <c r="BZ14" s="48">
        <f t="shared" si="18"/>
        <v>42.686260000000004</v>
      </c>
      <c r="CA14" s="48">
        <f t="shared" si="18"/>
        <v>41.990369999999999</v>
      </c>
      <c r="CB14" s="48">
        <f t="shared" si="18"/>
        <v>41.27796</v>
      </c>
      <c r="CC14" s="48">
        <f t="shared" si="18"/>
        <v>40.598009999999995</v>
      </c>
      <c r="CD14" s="48">
        <f t="shared" si="18"/>
        <v>39.880050000000004</v>
      </c>
      <c r="CE14" s="48">
        <f t="shared" si="18"/>
        <v>39.565959999999997</v>
      </c>
      <c r="CF14" s="48">
        <f t="shared" si="18"/>
        <v>40.073490000000007</v>
      </c>
      <c r="CG14" s="48">
        <f t="shared" si="18"/>
        <v>41.113999999999997</v>
      </c>
      <c r="CH14" s="48">
        <f t="shared" si="18"/>
        <v>41.963410000000003</v>
      </c>
      <c r="CI14" s="48">
        <f t="shared" ref="CI14:CR14" si="19">CI34/1000</f>
        <v>42.799379999999999</v>
      </c>
      <c r="CJ14" s="48">
        <f t="shared" si="19"/>
        <v>43.740949999999998</v>
      </c>
      <c r="CK14" s="48">
        <f t="shared" si="19"/>
        <v>43.938710000000007</v>
      </c>
      <c r="CL14" s="48">
        <f t="shared" si="19"/>
        <v>43.913369999999993</v>
      </c>
      <c r="CM14" s="48">
        <f t="shared" si="19"/>
        <v>44.020249999999997</v>
      </c>
      <c r="CN14" s="48">
        <f t="shared" si="19"/>
        <v>44.301360000000003</v>
      </c>
      <c r="CO14" s="48">
        <f t="shared" si="19"/>
        <v>44.545119999999997</v>
      </c>
      <c r="CP14" s="48">
        <f t="shared" si="19"/>
        <v>45.054679999999998</v>
      </c>
      <c r="CQ14" s="48">
        <f t="shared" si="19"/>
        <v>45.551610000000004</v>
      </c>
      <c r="CR14" s="48">
        <f t="shared" si="19"/>
        <v>46.444029999999998</v>
      </c>
    </row>
    <row r="15" spans="1:96" x14ac:dyDescent="0.25">
      <c r="R15" s="36"/>
      <c r="AR15" s="54" t="s">
        <v>109</v>
      </c>
      <c r="AS15" s="25">
        <v>28608.92</v>
      </c>
      <c r="AT15" s="25">
        <v>34838.71</v>
      </c>
      <c r="AU15" s="25">
        <f t="shared" si="0"/>
        <v>6229.7900000000009</v>
      </c>
      <c r="AV15" s="33">
        <f t="shared" si="3"/>
        <v>249.19160000000002</v>
      </c>
      <c r="AW15" s="48">
        <f t="shared" si="1"/>
        <v>21.775690938350699</v>
      </c>
      <c r="AX15" s="48">
        <f t="shared" si="2"/>
        <v>7.9242606453755746</v>
      </c>
      <c r="BB15" t="s">
        <v>108</v>
      </c>
      <c r="BC15" t="s">
        <v>97</v>
      </c>
      <c r="BD15">
        <v>28247.279999999999</v>
      </c>
      <c r="BE15">
        <v>29671.480000000003</v>
      </c>
      <c r="BF15">
        <v>30220.34</v>
      </c>
      <c r="BG15">
        <v>30237.43</v>
      </c>
      <c r="BH15">
        <v>30643.17</v>
      </c>
      <c r="BI15">
        <v>30847.54</v>
      </c>
      <c r="BJ15">
        <v>30174.379999999997</v>
      </c>
      <c r="BK15">
        <v>30132.68</v>
      </c>
      <c r="BL15">
        <v>30588.53</v>
      </c>
      <c r="BM15">
        <v>30858.11</v>
      </c>
      <c r="BN15">
        <v>31473.879999999997</v>
      </c>
      <c r="BO15">
        <v>31930.989999999998</v>
      </c>
      <c r="BP15">
        <v>32359.41</v>
      </c>
      <c r="BQ15">
        <v>32938.449999999997</v>
      </c>
      <c r="BR15">
        <v>33675.1</v>
      </c>
      <c r="BS15" s="48">
        <f t="shared" ref="BS15:BS23" si="20">BS35/1000</f>
        <v>34.645440000000001</v>
      </c>
      <c r="BT15" s="48">
        <f t="shared" ref="BT15:CR17" si="21">BT35/1000</f>
        <v>35.871520000000004</v>
      </c>
      <c r="BU15" s="48">
        <f t="shared" si="21"/>
        <v>36.899089999999994</v>
      </c>
      <c r="BV15" s="48">
        <f t="shared" si="21"/>
        <v>37.838790000000003</v>
      </c>
      <c r="BW15" s="48">
        <f t="shared" si="21"/>
        <v>38.671949999999995</v>
      </c>
      <c r="BX15" s="48">
        <f t="shared" si="21"/>
        <v>39.393560000000001</v>
      </c>
      <c r="BY15" s="48">
        <f t="shared" si="21"/>
        <v>39.514199999999995</v>
      </c>
      <c r="BZ15" s="48">
        <f t="shared" si="21"/>
        <v>39.744380000000007</v>
      </c>
      <c r="CA15" s="48">
        <f t="shared" si="21"/>
        <v>39.883809999999997</v>
      </c>
      <c r="CB15" s="48">
        <f t="shared" si="21"/>
        <v>39.974979999999995</v>
      </c>
      <c r="CC15" s="48">
        <f t="shared" si="21"/>
        <v>40.031400000000005</v>
      </c>
      <c r="CD15" s="48">
        <f t="shared" si="21"/>
        <v>39.974669999999996</v>
      </c>
      <c r="CE15" s="48">
        <f t="shared" si="21"/>
        <v>39.478430000000003</v>
      </c>
      <c r="CF15" s="48">
        <f t="shared" si="21"/>
        <v>38.834089999999996</v>
      </c>
      <c r="CG15" s="48">
        <f t="shared" si="21"/>
        <v>38.169319999999999</v>
      </c>
      <c r="CH15" s="48">
        <f t="shared" si="21"/>
        <v>37.525709999999997</v>
      </c>
      <c r="CI15" s="48">
        <f t="shared" si="21"/>
        <v>36.849419999999995</v>
      </c>
      <c r="CJ15" s="48">
        <f t="shared" si="21"/>
        <v>36.549190000000003</v>
      </c>
      <c r="CK15" s="48">
        <f t="shared" si="21"/>
        <v>37.011230000000005</v>
      </c>
      <c r="CL15" s="48">
        <f t="shared" si="21"/>
        <v>37.971199999999996</v>
      </c>
      <c r="CM15" s="48">
        <f t="shared" si="21"/>
        <v>38.769010000000002</v>
      </c>
      <c r="CN15" s="48">
        <f t="shared" si="21"/>
        <v>39.56015</v>
      </c>
      <c r="CO15" s="48">
        <f t="shared" si="21"/>
        <v>40.442419999999998</v>
      </c>
      <c r="CP15" s="48">
        <f t="shared" si="21"/>
        <v>40.643000000000001</v>
      </c>
      <c r="CQ15" s="48">
        <f t="shared" si="21"/>
        <v>40.653300000000002</v>
      </c>
      <c r="CR15" s="48">
        <f t="shared" si="21"/>
        <v>40.773319999999998</v>
      </c>
    </row>
    <row r="16" spans="1:96" x14ac:dyDescent="0.25">
      <c r="O16" s="33"/>
      <c r="P16" s="25"/>
      <c r="Q16" s="25"/>
      <c r="R16" s="73"/>
      <c r="S16" s="78"/>
      <c r="T16" s="77"/>
      <c r="AR16" s="54" t="s">
        <v>110</v>
      </c>
      <c r="AS16" s="25">
        <v>24861.059999999998</v>
      </c>
      <c r="AT16" s="25">
        <v>29146.240000000002</v>
      </c>
      <c r="AU16" s="25">
        <f t="shared" si="0"/>
        <v>4285.1800000000039</v>
      </c>
      <c r="AV16" s="33">
        <f t="shared" si="3"/>
        <v>171.40720000000016</v>
      </c>
      <c r="AW16" s="48">
        <f t="shared" si="1"/>
        <v>17.236513648251538</v>
      </c>
      <c r="AX16" s="48">
        <f t="shared" si="2"/>
        <v>5.4507267873155492</v>
      </c>
      <c r="BB16" t="s">
        <v>109</v>
      </c>
      <c r="BC16" t="s">
        <v>97</v>
      </c>
      <c r="BD16">
        <v>26112.61</v>
      </c>
      <c r="BE16">
        <v>25444.78</v>
      </c>
      <c r="BF16">
        <v>25313.72</v>
      </c>
      <c r="BG16">
        <v>25182.16</v>
      </c>
      <c r="BH16">
        <v>25305.809999999998</v>
      </c>
      <c r="BI16">
        <v>25652.78</v>
      </c>
      <c r="BJ16">
        <v>26938.34</v>
      </c>
      <c r="BK16">
        <v>27543.579999999998</v>
      </c>
      <c r="BL16">
        <v>27692.86</v>
      </c>
      <c r="BM16">
        <v>28191.08</v>
      </c>
      <c r="BN16">
        <v>28465.52</v>
      </c>
      <c r="BO16">
        <v>27859.07</v>
      </c>
      <c r="BP16">
        <v>27913.18</v>
      </c>
      <c r="BQ16">
        <v>28239.059999999998</v>
      </c>
      <c r="BR16">
        <v>28305.01</v>
      </c>
      <c r="BS16" s="48">
        <f t="shared" si="20"/>
        <v>28.608919999999998</v>
      </c>
      <c r="BT16" s="48">
        <f t="shared" si="21"/>
        <v>28.978160000000003</v>
      </c>
      <c r="BU16" s="48">
        <f t="shared" si="21"/>
        <v>29.343</v>
      </c>
      <c r="BV16" s="48">
        <f t="shared" si="21"/>
        <v>29.767130000000002</v>
      </c>
      <c r="BW16" s="48">
        <f t="shared" si="21"/>
        <v>30.410760000000003</v>
      </c>
      <c r="BX16" s="48">
        <f t="shared" si="21"/>
        <v>31.194400000000002</v>
      </c>
      <c r="BY16" s="48">
        <f t="shared" si="21"/>
        <v>32.267409999999998</v>
      </c>
      <c r="BZ16" s="48">
        <f t="shared" si="21"/>
        <v>33.156779999999998</v>
      </c>
      <c r="CA16" s="48">
        <f t="shared" si="21"/>
        <v>33.969199999999994</v>
      </c>
      <c r="CB16" s="48">
        <f t="shared" si="21"/>
        <v>34.689790000000002</v>
      </c>
      <c r="CC16" s="48">
        <f t="shared" si="21"/>
        <v>35.295350000000006</v>
      </c>
      <c r="CD16" s="48">
        <f t="shared" si="21"/>
        <v>35.424190000000003</v>
      </c>
      <c r="CE16" s="48">
        <f t="shared" si="21"/>
        <v>35.64564</v>
      </c>
      <c r="CF16" s="48">
        <f t="shared" si="21"/>
        <v>35.787440000000004</v>
      </c>
      <c r="CG16" s="48">
        <f t="shared" si="21"/>
        <v>35.872900000000001</v>
      </c>
      <c r="CH16" s="48">
        <f t="shared" si="21"/>
        <v>35.934809999999999</v>
      </c>
      <c r="CI16" s="48">
        <f t="shared" si="21"/>
        <v>35.892069999999997</v>
      </c>
      <c r="CJ16" s="48">
        <f t="shared" si="21"/>
        <v>35.457440000000005</v>
      </c>
      <c r="CK16" s="48">
        <f t="shared" si="21"/>
        <v>34.882660000000001</v>
      </c>
      <c r="CL16" s="48">
        <f t="shared" si="21"/>
        <v>34.287479999999995</v>
      </c>
      <c r="CM16" s="48">
        <f t="shared" si="21"/>
        <v>33.70337</v>
      </c>
      <c r="CN16" s="48">
        <f t="shared" si="21"/>
        <v>33.09243</v>
      </c>
      <c r="CO16" s="48">
        <f t="shared" si="21"/>
        <v>32.82094</v>
      </c>
      <c r="CP16" s="48">
        <f t="shared" si="21"/>
        <v>33.238510000000005</v>
      </c>
      <c r="CQ16" s="48">
        <f t="shared" si="21"/>
        <v>34.106809999999996</v>
      </c>
      <c r="CR16" s="48">
        <f t="shared" si="21"/>
        <v>34.838709999999999</v>
      </c>
    </row>
    <row r="17" spans="1:96" x14ac:dyDescent="0.25">
      <c r="O17" s="25"/>
      <c r="P17" s="25"/>
      <c r="Q17" s="25"/>
      <c r="R17" s="25"/>
      <c r="S17" s="33"/>
      <c r="T17" s="77"/>
      <c r="AR17" s="54" t="s">
        <v>111</v>
      </c>
      <c r="AS17" s="25">
        <v>21453.178</v>
      </c>
      <c r="AT17" s="25">
        <v>31281.759999999998</v>
      </c>
      <c r="AU17" s="25">
        <f t="shared" si="0"/>
        <v>9828.5819999999985</v>
      </c>
      <c r="AV17" s="33">
        <f t="shared" si="3"/>
        <v>393.14327999999995</v>
      </c>
      <c r="AW17" s="48">
        <f t="shared" si="1"/>
        <v>45.814107355096759</v>
      </c>
      <c r="AX17" s="48">
        <f t="shared" si="2"/>
        <v>12.501905448248937</v>
      </c>
      <c r="BB17" t="s">
        <v>110</v>
      </c>
      <c r="BC17" t="s">
        <v>97</v>
      </c>
      <c r="BD17">
        <v>25687.760000000002</v>
      </c>
      <c r="BE17">
        <v>25474.45</v>
      </c>
      <c r="BF17">
        <v>25183.52</v>
      </c>
      <c r="BG17">
        <v>24983.809999999998</v>
      </c>
      <c r="BH17">
        <v>24581.66</v>
      </c>
      <c r="BI17">
        <v>23517.5</v>
      </c>
      <c r="BJ17">
        <v>22933.29</v>
      </c>
      <c r="BK17">
        <v>22787.656999999999</v>
      </c>
      <c r="BL17">
        <v>22884.07</v>
      </c>
      <c r="BM17">
        <v>23057.893</v>
      </c>
      <c r="BN17">
        <v>23519.275000000001</v>
      </c>
      <c r="BO17">
        <v>24514.79</v>
      </c>
      <c r="BP17">
        <v>24843.879999999997</v>
      </c>
      <c r="BQ17">
        <v>24652.75</v>
      </c>
      <c r="BR17">
        <v>24864.11</v>
      </c>
      <c r="BS17" s="48">
        <f t="shared" si="20"/>
        <v>24.861059999999998</v>
      </c>
      <c r="BT17" s="48">
        <f t="shared" si="21"/>
        <v>24.185430999999998</v>
      </c>
      <c r="BU17" s="48">
        <f t="shared" si="21"/>
        <v>24.080351999999998</v>
      </c>
      <c r="BV17" s="48">
        <f t="shared" si="21"/>
        <v>24.214544</v>
      </c>
      <c r="BW17" s="48">
        <f t="shared" si="21"/>
        <v>24.145558000000001</v>
      </c>
      <c r="BX17" s="48">
        <f t="shared" si="21"/>
        <v>24.243633000000003</v>
      </c>
      <c r="BY17" s="48">
        <f t="shared" si="21"/>
        <v>24.609607</v>
      </c>
      <c r="BZ17" s="48">
        <f t="shared" si="21"/>
        <v>24.977612000000001</v>
      </c>
      <c r="CA17" s="48">
        <f t="shared" si="21"/>
        <v>25.396942000000003</v>
      </c>
      <c r="CB17" s="48">
        <f t="shared" si="21"/>
        <v>26.000900000000001</v>
      </c>
      <c r="CC17" s="48">
        <f t="shared" si="21"/>
        <v>26.728400000000001</v>
      </c>
      <c r="CD17" s="48">
        <f t="shared" si="21"/>
        <v>27.670489999999997</v>
      </c>
      <c r="CE17" s="48">
        <f t="shared" si="21"/>
        <v>28.456469999999999</v>
      </c>
      <c r="CF17" s="48">
        <f t="shared" si="21"/>
        <v>29.178819999999998</v>
      </c>
      <c r="CG17" s="48">
        <f t="shared" si="21"/>
        <v>29.822959999999998</v>
      </c>
      <c r="CH17" s="48">
        <f t="shared" si="21"/>
        <v>30.360389999999999</v>
      </c>
      <c r="CI17" s="48">
        <f t="shared" si="21"/>
        <v>30.49822</v>
      </c>
      <c r="CJ17" s="48">
        <f t="shared" si="21"/>
        <v>30.710609999999999</v>
      </c>
      <c r="CK17" s="48">
        <f t="shared" si="21"/>
        <v>30.853120000000001</v>
      </c>
      <c r="CL17" s="48">
        <f t="shared" si="21"/>
        <v>30.938190000000002</v>
      </c>
      <c r="CM17" s="48">
        <f t="shared" si="21"/>
        <v>31.006959999999999</v>
      </c>
      <c r="CN17" s="48">
        <f t="shared" ref="BT17:CR23" si="22">CN37/1000</f>
        <v>30.98584</v>
      </c>
      <c r="CO17" s="48">
        <f t="shared" si="22"/>
        <v>30.627130000000001</v>
      </c>
      <c r="CP17" s="48">
        <f t="shared" si="22"/>
        <v>30.144379999999998</v>
      </c>
      <c r="CQ17" s="48">
        <f t="shared" si="22"/>
        <v>29.643930000000001</v>
      </c>
      <c r="CR17" s="48">
        <f t="shared" si="22"/>
        <v>29.146240000000002</v>
      </c>
    </row>
    <row r="18" spans="1:96" x14ac:dyDescent="0.25">
      <c r="O18" s="25"/>
      <c r="P18" s="25"/>
      <c r="Q18" s="25"/>
      <c r="R18" s="25"/>
      <c r="S18" s="25"/>
      <c r="T18" s="77"/>
      <c r="AR18" s="54" t="s">
        <v>112</v>
      </c>
      <c r="AS18" s="25">
        <v>18688.97</v>
      </c>
      <c r="AT18" s="25">
        <v>29404.940000000002</v>
      </c>
      <c r="AU18" s="25">
        <f t="shared" si="0"/>
        <v>10715.970000000001</v>
      </c>
      <c r="AV18" s="33">
        <f t="shared" si="3"/>
        <v>428.63880000000006</v>
      </c>
      <c r="AW18" s="48">
        <f t="shared" si="1"/>
        <v>57.33847290674661</v>
      </c>
      <c r="AX18" s="48">
        <f t="shared" si="2"/>
        <v>13.630658392662562</v>
      </c>
      <c r="BB18" t="s">
        <v>111</v>
      </c>
      <c r="BC18" t="s">
        <v>97</v>
      </c>
      <c r="BD18">
        <v>23427.88</v>
      </c>
      <c r="BE18">
        <v>23114.260000000002</v>
      </c>
      <c r="BF18">
        <v>22709.199999999997</v>
      </c>
      <c r="BG18">
        <v>22169.91</v>
      </c>
      <c r="BH18">
        <v>21786.61</v>
      </c>
      <c r="BI18">
        <v>21607.35</v>
      </c>
      <c r="BJ18">
        <v>21413.27</v>
      </c>
      <c r="BK18">
        <v>21380.9</v>
      </c>
      <c r="BL18">
        <v>21543.660000000003</v>
      </c>
      <c r="BM18">
        <v>21324.33</v>
      </c>
      <c r="BN18">
        <v>20713.694</v>
      </c>
      <c r="BO18">
        <v>20523.477999999999</v>
      </c>
      <c r="BP18">
        <v>20550.402999999998</v>
      </c>
      <c r="BQ18">
        <v>20822.721000000001</v>
      </c>
      <c r="BR18">
        <v>21008.330999999998</v>
      </c>
      <c r="BS18" s="48">
        <f t="shared" si="20"/>
        <v>21.453178000000001</v>
      </c>
      <c r="BT18" s="48">
        <f t="shared" si="22"/>
        <v>22.553232999999999</v>
      </c>
      <c r="BU18" s="48">
        <f t="shared" si="22"/>
        <v>22.985872999999998</v>
      </c>
      <c r="BV18" s="48">
        <f t="shared" si="22"/>
        <v>22.971862999999999</v>
      </c>
      <c r="BW18" s="48">
        <f t="shared" si="22"/>
        <v>23.344556000000001</v>
      </c>
      <c r="BX18" s="48">
        <f t="shared" si="22"/>
        <v>23.534019000000001</v>
      </c>
      <c r="BY18" s="48">
        <f t="shared" si="22"/>
        <v>23.114501000000001</v>
      </c>
      <c r="BZ18" s="48">
        <f t="shared" si="22"/>
        <v>23.227176</v>
      </c>
      <c r="CA18" s="48">
        <f t="shared" si="22"/>
        <v>23.565465</v>
      </c>
      <c r="CB18" s="48">
        <f t="shared" si="22"/>
        <v>23.718631000000002</v>
      </c>
      <c r="CC18" s="48">
        <f t="shared" si="22"/>
        <v>24.036686000000003</v>
      </c>
      <c r="CD18" s="48">
        <f t="shared" si="22"/>
        <v>24.431243000000002</v>
      </c>
      <c r="CE18" s="48">
        <f t="shared" si="22"/>
        <v>24.830150999999997</v>
      </c>
      <c r="CF18" s="48">
        <f t="shared" si="22"/>
        <v>25.286099999999998</v>
      </c>
      <c r="CG18" s="48">
        <f t="shared" si="22"/>
        <v>25.922879999999999</v>
      </c>
      <c r="CH18" s="48">
        <f t="shared" si="22"/>
        <v>26.685209999999998</v>
      </c>
      <c r="CI18" s="48">
        <f t="shared" si="22"/>
        <v>27.660119999999999</v>
      </c>
      <c r="CJ18" s="48">
        <f t="shared" si="22"/>
        <v>28.479770000000002</v>
      </c>
      <c r="CK18" s="48">
        <f t="shared" si="22"/>
        <v>29.240410000000004</v>
      </c>
      <c r="CL18" s="48">
        <f t="shared" si="22"/>
        <v>29.920650000000002</v>
      </c>
      <c r="CM18" s="48">
        <f t="shared" si="22"/>
        <v>30.489510000000003</v>
      </c>
      <c r="CN18" s="48">
        <f t="shared" si="22"/>
        <v>30.661000000000001</v>
      </c>
      <c r="CO18" s="48">
        <f t="shared" si="22"/>
        <v>30.90558</v>
      </c>
      <c r="CP18" s="48">
        <f t="shared" si="22"/>
        <v>31.074849999999998</v>
      </c>
      <c r="CQ18" s="48">
        <f t="shared" si="22"/>
        <v>31.18375</v>
      </c>
      <c r="CR18" s="48">
        <f t="shared" si="22"/>
        <v>31.281759999999998</v>
      </c>
    </row>
    <row r="19" spans="1:96" x14ac:dyDescent="0.25">
      <c r="O19" s="25"/>
      <c r="P19" s="25"/>
      <c r="Q19" s="25"/>
      <c r="AR19" s="54" t="s">
        <v>113</v>
      </c>
      <c r="AS19" s="25">
        <v>16201.678</v>
      </c>
      <c r="AT19" s="25">
        <v>23836.98</v>
      </c>
      <c r="AU19" s="25">
        <f t="shared" si="0"/>
        <v>7635.3019999999997</v>
      </c>
      <c r="AV19" s="33">
        <f t="shared" si="3"/>
        <v>305.41208</v>
      </c>
      <c r="AW19" s="48">
        <f t="shared" si="1"/>
        <v>47.126612441007651</v>
      </c>
      <c r="AX19" s="48">
        <f t="shared" si="2"/>
        <v>9.7120646368749846</v>
      </c>
      <c r="BB19" t="s">
        <v>112</v>
      </c>
      <c r="BC19" t="s">
        <v>97</v>
      </c>
      <c r="BD19">
        <v>20919.989000000001</v>
      </c>
      <c r="BE19">
        <v>20455.849999999999</v>
      </c>
      <c r="BF19">
        <v>20043.106</v>
      </c>
      <c r="BG19">
        <v>19830.972000000002</v>
      </c>
      <c r="BH19">
        <v>19628.965</v>
      </c>
      <c r="BI19">
        <v>19564.169999999998</v>
      </c>
      <c r="BJ19">
        <v>19552.428</v>
      </c>
      <c r="BK19">
        <v>19533.828000000001</v>
      </c>
      <c r="BL19">
        <v>19325.006999999998</v>
      </c>
      <c r="BM19">
        <v>19175.212</v>
      </c>
      <c r="BN19">
        <v>19393.264999999999</v>
      </c>
      <c r="BO19">
        <v>19308.178</v>
      </c>
      <c r="BP19">
        <v>19376.885999999999</v>
      </c>
      <c r="BQ19">
        <v>19553.775999999998</v>
      </c>
      <c r="BR19">
        <v>19346.711000000003</v>
      </c>
      <c r="BS19" s="48">
        <f t="shared" si="20"/>
        <v>18.688970000000001</v>
      </c>
      <c r="BT19" s="48">
        <f t="shared" si="22"/>
        <v>18.555178999999999</v>
      </c>
      <c r="BU19" s="48">
        <f t="shared" si="22"/>
        <v>18.713296000000003</v>
      </c>
      <c r="BV19" s="48">
        <f t="shared" si="22"/>
        <v>19.023625999999997</v>
      </c>
      <c r="BW19" s="48">
        <f t="shared" si="22"/>
        <v>19.282805</v>
      </c>
      <c r="BX19" s="48">
        <f t="shared" si="22"/>
        <v>19.772381999999997</v>
      </c>
      <c r="BY19" s="48">
        <f t="shared" si="22"/>
        <v>20.921612999999997</v>
      </c>
      <c r="BZ19" s="48">
        <f t="shared" si="22"/>
        <v>21.439472000000002</v>
      </c>
      <c r="CA19" s="48">
        <f t="shared" si="22"/>
        <v>21.541707000000002</v>
      </c>
      <c r="CB19" s="48">
        <f t="shared" si="22"/>
        <v>21.983408999999998</v>
      </c>
      <c r="CC19" s="48">
        <f t="shared" si="22"/>
        <v>22.25414</v>
      </c>
      <c r="CD19" s="48">
        <f t="shared" si="22"/>
        <v>21.897368999999998</v>
      </c>
      <c r="CE19" s="48">
        <f t="shared" si="22"/>
        <v>22.026046999999998</v>
      </c>
      <c r="CF19" s="48">
        <f t="shared" si="22"/>
        <v>22.357491999999997</v>
      </c>
      <c r="CG19" s="48">
        <f t="shared" si="22"/>
        <v>22.527647000000002</v>
      </c>
      <c r="CH19" s="48">
        <f t="shared" si="22"/>
        <v>22.853094000000002</v>
      </c>
      <c r="CI19" s="48">
        <f t="shared" si="22"/>
        <v>23.272349999999999</v>
      </c>
      <c r="CJ19" s="48">
        <f t="shared" si="22"/>
        <v>23.693619999999999</v>
      </c>
      <c r="CK19" s="48">
        <f t="shared" si="22"/>
        <v>24.176779999999997</v>
      </c>
      <c r="CL19" s="48">
        <f t="shared" si="22"/>
        <v>24.828790000000001</v>
      </c>
      <c r="CM19" s="48">
        <f t="shared" si="22"/>
        <v>25.594429999999999</v>
      </c>
      <c r="CN19" s="48">
        <f t="shared" si="22"/>
        <v>26.558900000000001</v>
      </c>
      <c r="CO19" s="48">
        <f t="shared" si="22"/>
        <v>27.378979999999999</v>
      </c>
      <c r="CP19" s="48">
        <f t="shared" si="22"/>
        <v>28.14302</v>
      </c>
      <c r="CQ19" s="48">
        <f t="shared" si="22"/>
        <v>28.830470000000002</v>
      </c>
      <c r="CR19" s="48">
        <f t="shared" si="22"/>
        <v>29.404940000000003</v>
      </c>
    </row>
    <row r="20" spans="1:96" x14ac:dyDescent="0.25">
      <c r="O20" s="25"/>
      <c r="P20" s="25"/>
      <c r="Q20" s="25"/>
      <c r="AR20" s="54" t="s">
        <v>114</v>
      </c>
      <c r="AS20" s="25">
        <v>10409.449000000001</v>
      </c>
      <c r="AT20" s="25">
        <v>15474.313999999998</v>
      </c>
      <c r="AU20" s="25">
        <f t="shared" si="0"/>
        <v>5064.864999999998</v>
      </c>
      <c r="AV20" s="33">
        <f t="shared" si="3"/>
        <v>202.59459999999993</v>
      </c>
      <c r="AW20" s="48">
        <f t="shared" si="1"/>
        <v>48.656417837293766</v>
      </c>
      <c r="AX20" s="48">
        <f t="shared" si="2"/>
        <v>6.4424820730137196</v>
      </c>
      <c r="BB20" t="s">
        <v>113</v>
      </c>
      <c r="BC20" t="s">
        <v>97</v>
      </c>
      <c r="BD20">
        <v>14798.388999999999</v>
      </c>
      <c r="BE20">
        <v>15326.823</v>
      </c>
      <c r="BF20">
        <v>15805.709000000001</v>
      </c>
      <c r="BG20">
        <v>15819.269</v>
      </c>
      <c r="BH20">
        <v>15416.002</v>
      </c>
      <c r="BI20">
        <v>15098.663</v>
      </c>
      <c r="BJ20">
        <v>15009.04</v>
      </c>
      <c r="BK20">
        <v>14854.843999999999</v>
      </c>
      <c r="BL20">
        <v>14959.350999999999</v>
      </c>
      <c r="BM20">
        <v>15222.1</v>
      </c>
      <c r="BN20">
        <v>15693.126</v>
      </c>
      <c r="BO20">
        <v>15925.704</v>
      </c>
      <c r="BP20">
        <v>16062.077000000001</v>
      </c>
      <c r="BQ20">
        <v>16135.666999999999</v>
      </c>
      <c r="BR20">
        <v>16097.212</v>
      </c>
      <c r="BS20" s="48">
        <f t="shared" si="20"/>
        <v>16.201678000000001</v>
      </c>
      <c r="BT20" s="48">
        <f t="shared" si="22"/>
        <v>16.259867</v>
      </c>
      <c r="BU20" s="48">
        <f t="shared" si="22"/>
        <v>16.421641000000001</v>
      </c>
      <c r="BV20" s="48">
        <f t="shared" si="22"/>
        <v>16.691866999999998</v>
      </c>
      <c r="BW20" s="48">
        <f t="shared" si="22"/>
        <v>16.645521000000002</v>
      </c>
      <c r="BX20" s="48">
        <f t="shared" si="22"/>
        <v>16.230255</v>
      </c>
      <c r="BY20" s="48">
        <f t="shared" si="22"/>
        <v>16.222259000000001</v>
      </c>
      <c r="BZ20" s="48">
        <f t="shared" si="22"/>
        <v>16.485307999999996</v>
      </c>
      <c r="CA20" s="48">
        <f t="shared" si="22"/>
        <v>16.904525999999997</v>
      </c>
      <c r="CB20" s="48">
        <f t="shared" si="22"/>
        <v>17.245072</v>
      </c>
      <c r="CC20" s="48">
        <f t="shared" si="22"/>
        <v>17.751071</v>
      </c>
      <c r="CD20" s="48">
        <f t="shared" si="22"/>
        <v>18.867639</v>
      </c>
      <c r="CE20" s="48">
        <f t="shared" si="22"/>
        <v>19.410391999999998</v>
      </c>
      <c r="CF20" s="48">
        <f t="shared" si="22"/>
        <v>19.572815000000002</v>
      </c>
      <c r="CG20" s="48">
        <f t="shared" si="22"/>
        <v>20.012513999999999</v>
      </c>
      <c r="CH20" s="48">
        <f t="shared" si="22"/>
        <v>20.279499999999999</v>
      </c>
      <c r="CI20" s="48">
        <f t="shared" si="22"/>
        <v>20.000692999999998</v>
      </c>
      <c r="CJ20" s="48">
        <f t="shared" si="22"/>
        <v>20.152795999999999</v>
      </c>
      <c r="CK20" s="48">
        <f t="shared" si="22"/>
        <v>20.476431999999999</v>
      </c>
      <c r="CL20" s="48">
        <f t="shared" si="22"/>
        <v>20.666137000000003</v>
      </c>
      <c r="CM20" s="48">
        <f t="shared" si="22"/>
        <v>20.99775</v>
      </c>
      <c r="CN20" s="48">
        <f t="shared" si="22"/>
        <v>21.445689999999999</v>
      </c>
      <c r="CO20" s="48">
        <f t="shared" si="22"/>
        <v>21.892659999999999</v>
      </c>
      <c r="CP20" s="48">
        <f t="shared" si="22"/>
        <v>22.407250000000001</v>
      </c>
      <c r="CQ20" s="48">
        <f t="shared" si="22"/>
        <v>23.073510000000002</v>
      </c>
      <c r="CR20" s="48">
        <f t="shared" si="22"/>
        <v>23.836980000000001</v>
      </c>
    </row>
    <row r="21" spans="1:96" ht="15.75" thickBot="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AR21" s="54" t="s">
        <v>115</v>
      </c>
      <c r="AS21" s="25">
        <v>5569.9079999999994</v>
      </c>
      <c r="AT21" s="25">
        <v>11288.566999999999</v>
      </c>
      <c r="AU21" s="25">
        <f t="shared" si="0"/>
        <v>5718.6589999999997</v>
      </c>
      <c r="AV21" s="33">
        <f t="shared" si="3"/>
        <v>228.74635999999998</v>
      </c>
      <c r="AW21" s="48">
        <f t="shared" si="1"/>
        <v>102.67061861703999</v>
      </c>
      <c r="AX21" s="48">
        <f t="shared" si="2"/>
        <v>7.2741046581061051</v>
      </c>
      <c r="BB21" t="s">
        <v>114</v>
      </c>
      <c r="BC21" t="s">
        <v>97</v>
      </c>
      <c r="BD21">
        <v>8723.7119999999995</v>
      </c>
      <c r="BE21">
        <v>8439.5649999999987</v>
      </c>
      <c r="BF21">
        <v>7998.3860000000004</v>
      </c>
      <c r="BG21">
        <v>7878.5630000000001</v>
      </c>
      <c r="BH21">
        <v>8304.23</v>
      </c>
      <c r="BI21">
        <v>8763.6149999999998</v>
      </c>
      <c r="BJ21">
        <v>9212.2659999999996</v>
      </c>
      <c r="BK21">
        <v>9579.5370000000003</v>
      </c>
      <c r="BL21">
        <v>9527.101999999999</v>
      </c>
      <c r="BM21">
        <v>9432.0360000000001</v>
      </c>
      <c r="BN21">
        <v>9660.8829999999998</v>
      </c>
      <c r="BO21">
        <v>9719.2780000000002</v>
      </c>
      <c r="BP21">
        <v>9731.0480000000007</v>
      </c>
      <c r="BQ21">
        <v>9902.7750000000015</v>
      </c>
      <c r="BR21">
        <v>10134.308000000001</v>
      </c>
      <c r="BS21" s="48">
        <f t="shared" si="20"/>
        <v>10.409449</v>
      </c>
      <c r="BT21" s="48">
        <f t="shared" si="22"/>
        <v>10.466428000000001</v>
      </c>
      <c r="BU21" s="48">
        <f t="shared" si="22"/>
        <v>10.614701</v>
      </c>
      <c r="BV21" s="48">
        <f t="shared" si="22"/>
        <v>10.610921999999999</v>
      </c>
      <c r="BW21" s="48">
        <f t="shared" si="22"/>
        <v>10.677802999999999</v>
      </c>
      <c r="BX21" s="48">
        <f t="shared" si="22"/>
        <v>10.861739</v>
      </c>
      <c r="BY21" s="48">
        <f t="shared" si="22"/>
        <v>10.978251</v>
      </c>
      <c r="BZ21" s="48">
        <f t="shared" si="22"/>
        <v>11.166972000000001</v>
      </c>
      <c r="CA21" s="48">
        <f t="shared" si="22"/>
        <v>11.390933</v>
      </c>
      <c r="CB21" s="48">
        <f t="shared" si="22"/>
        <v>11.411852999999999</v>
      </c>
      <c r="CC21" s="48">
        <f t="shared" si="22"/>
        <v>11.176784</v>
      </c>
      <c r="CD21" s="48">
        <f t="shared" si="22"/>
        <v>11.240285</v>
      </c>
      <c r="CE21" s="48">
        <f t="shared" si="22"/>
        <v>11.527223999999999</v>
      </c>
      <c r="CF21" s="48">
        <f t="shared" si="22"/>
        <v>11.927622999999999</v>
      </c>
      <c r="CG21" s="48">
        <f t="shared" si="22"/>
        <v>12.239623999999999</v>
      </c>
      <c r="CH21" s="48">
        <f t="shared" si="22"/>
        <v>12.627656999999999</v>
      </c>
      <c r="CI21" s="48">
        <f t="shared" si="22"/>
        <v>13.521025999999999</v>
      </c>
      <c r="CJ21" s="48">
        <f t="shared" si="22"/>
        <v>13.987540000000001</v>
      </c>
      <c r="CK21" s="48">
        <f t="shared" si="22"/>
        <v>14.162857000000001</v>
      </c>
      <c r="CL21" s="48">
        <f t="shared" si="22"/>
        <v>14.514687</v>
      </c>
      <c r="CM21" s="48">
        <f t="shared" si="22"/>
        <v>14.725496999999999</v>
      </c>
      <c r="CN21" s="48">
        <f t="shared" si="22"/>
        <v>14.580755000000002</v>
      </c>
      <c r="CO21" s="48">
        <f t="shared" si="22"/>
        <v>14.742777</v>
      </c>
      <c r="CP21" s="48">
        <f t="shared" si="22"/>
        <v>15.011573</v>
      </c>
      <c r="CQ21" s="48">
        <f t="shared" si="22"/>
        <v>15.194438</v>
      </c>
      <c r="CR21" s="48">
        <f t="shared" si="22"/>
        <v>15.474313999999998</v>
      </c>
    </row>
    <row r="22" spans="1:96" ht="60.75" thickBot="1" x14ac:dyDescent="0.3">
      <c r="A22" s="70" t="s">
        <v>142</v>
      </c>
      <c r="B22" s="71" t="s">
        <v>138</v>
      </c>
      <c r="C22" s="71"/>
      <c r="D22" s="71" t="s">
        <v>144</v>
      </c>
      <c r="E22" s="71" t="s">
        <v>143</v>
      </c>
      <c r="F22" s="72" t="s">
        <v>149</v>
      </c>
      <c r="H22" s="102" t="s">
        <v>170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AR22" s="54" t="s">
        <v>131</v>
      </c>
      <c r="AS22" s="25">
        <v>419519.27599999995</v>
      </c>
      <c r="AT22" s="25">
        <v>498135.94799999997</v>
      </c>
      <c r="AU22" s="25">
        <f t="shared" si="0"/>
        <v>78616.67200000002</v>
      </c>
      <c r="AV22" s="33">
        <f t="shared" si="3"/>
        <v>3144.6668800000007</v>
      </c>
      <c r="AW22" s="48">
        <f t="shared" si="1"/>
        <v>18.739704346743778</v>
      </c>
      <c r="AX22">
        <f t="shared" si="2"/>
        <v>100</v>
      </c>
      <c r="BB22" t="s">
        <v>115</v>
      </c>
      <c r="BC22" t="s">
        <v>97</v>
      </c>
      <c r="BD22">
        <v>3611.8919999999998</v>
      </c>
      <c r="BE22">
        <v>3813.1179999999999</v>
      </c>
      <c r="BF22">
        <v>3873.087</v>
      </c>
      <c r="BG22">
        <v>3984.2569999999996</v>
      </c>
      <c r="BH22">
        <v>4157.1139999999996</v>
      </c>
      <c r="BI22">
        <v>4185.6190000000006</v>
      </c>
      <c r="BJ22">
        <v>4067.1619999999998</v>
      </c>
      <c r="BK22">
        <v>3922.7570000000001</v>
      </c>
      <c r="BL22">
        <v>4086.1980000000003</v>
      </c>
      <c r="BM22">
        <v>4298.067</v>
      </c>
      <c r="BN22">
        <v>4774.7910000000002</v>
      </c>
      <c r="BO22">
        <v>5019.4840000000004</v>
      </c>
      <c r="BP22">
        <v>5201.3449999999993</v>
      </c>
      <c r="BQ22">
        <v>5381.1090000000004</v>
      </c>
      <c r="BR22">
        <v>5443.4840000000004</v>
      </c>
      <c r="BS22" s="48">
        <f t="shared" si="20"/>
        <v>5.5699079999999999</v>
      </c>
      <c r="BT22" s="48">
        <f t="shared" si="22"/>
        <v>5.6823940000000004</v>
      </c>
      <c r="BU22" s="48">
        <f t="shared" si="22"/>
        <v>5.7549480000000006</v>
      </c>
      <c r="BV22" s="48">
        <f t="shared" si="22"/>
        <v>5.8480179999999997</v>
      </c>
      <c r="BW22" s="48">
        <f t="shared" si="22"/>
        <v>6.042484</v>
      </c>
      <c r="BX22" s="48">
        <f t="shared" si="22"/>
        <v>6.2040860000000002</v>
      </c>
      <c r="BY22" s="48">
        <f t="shared" si="22"/>
        <v>6.3426730000000004</v>
      </c>
      <c r="BZ22" s="48">
        <f t="shared" si="22"/>
        <v>6.4663060000000003</v>
      </c>
      <c r="CA22" s="48">
        <f t="shared" si="22"/>
        <v>6.5393650000000001</v>
      </c>
      <c r="CB22" s="48">
        <f t="shared" si="22"/>
        <v>6.7165809999999997</v>
      </c>
      <c r="CC22" s="48">
        <f t="shared" si="22"/>
        <v>6.9387969999999992</v>
      </c>
      <c r="CD22" s="48">
        <f t="shared" si="22"/>
        <v>7.1312959999999999</v>
      </c>
      <c r="CE22" s="48">
        <f t="shared" si="22"/>
        <v>7.3502270000000012</v>
      </c>
      <c r="CF22" s="48">
        <f t="shared" si="22"/>
        <v>7.5512039999999994</v>
      </c>
      <c r="CG22" s="48">
        <f t="shared" si="22"/>
        <v>7.6989390000000002</v>
      </c>
      <c r="CH22" s="48">
        <f t="shared" si="22"/>
        <v>7.7297960000000003</v>
      </c>
      <c r="CI22" s="48">
        <f t="shared" si="22"/>
        <v>7.9231000000000007</v>
      </c>
      <c r="CJ22" s="48">
        <f t="shared" si="22"/>
        <v>8.263382</v>
      </c>
      <c r="CK22" s="48">
        <f t="shared" si="22"/>
        <v>8.6561620000000001</v>
      </c>
      <c r="CL22" s="48">
        <f t="shared" si="22"/>
        <v>8.9554760000000009</v>
      </c>
      <c r="CM22" s="48">
        <f t="shared" si="22"/>
        <v>9.2225219999999997</v>
      </c>
      <c r="CN22" s="48">
        <f t="shared" si="22"/>
        <v>9.9121559999999995</v>
      </c>
      <c r="CO22" s="48">
        <f t="shared" si="22"/>
        <v>10.401119000000001</v>
      </c>
      <c r="CP22" s="48">
        <f t="shared" si="22"/>
        <v>10.725682000000001</v>
      </c>
      <c r="CQ22" s="48">
        <f t="shared" si="22"/>
        <v>11.067859</v>
      </c>
      <c r="CR22" s="48">
        <f t="shared" si="22"/>
        <v>11.288566999999999</v>
      </c>
    </row>
    <row r="23" spans="1:96" ht="15.75" thickBot="1" x14ac:dyDescent="0.3">
      <c r="A23" s="66" t="s">
        <v>116</v>
      </c>
      <c r="B23" s="67">
        <f t="shared" ref="B23:B31" si="23">ROUND(BS47,-2)</f>
        <v>20000</v>
      </c>
      <c r="C23" s="67">
        <f>ROUND(INDEX($BS$47:$CR$55,MATCH(A23,$BB$47:$BB$55,0),MATCH($CU$46,$BS$45:$CR$45,0)),-2)</f>
        <v>19600</v>
      </c>
      <c r="D23" s="67">
        <f t="shared" ref="D23:D32" si="24">C23-B23</f>
        <v>-400</v>
      </c>
      <c r="E23" s="68">
        <f t="shared" ref="E23:E32" si="25">ROUND(D23/25,-2)</f>
        <v>0</v>
      </c>
      <c r="F23" s="69">
        <f t="shared" ref="F23:F32" si="26">D23/B23*100</f>
        <v>-2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BB23" s="49" t="s">
        <v>131</v>
      </c>
      <c r="BC23" s="49" t="s">
        <v>97</v>
      </c>
      <c r="BD23" s="49">
        <v>392033.46900000004</v>
      </c>
      <c r="BE23" s="49">
        <v>392344.07400000002</v>
      </c>
      <c r="BF23" s="49">
        <v>392132.14600000001</v>
      </c>
      <c r="BG23" s="49">
        <v>391818.64199999993</v>
      </c>
      <c r="BH23" s="49">
        <v>394640.34499999991</v>
      </c>
      <c r="BI23" s="49">
        <v>395127.65499999997</v>
      </c>
      <c r="BJ23" s="49">
        <v>396680.15400000004</v>
      </c>
      <c r="BK23" s="49">
        <v>398957.91800000001</v>
      </c>
      <c r="BL23" s="49">
        <v>401371.13999999996</v>
      </c>
      <c r="BM23" s="49">
        <v>404007.47100000002</v>
      </c>
      <c r="BN23" s="49">
        <v>407769.61300000007</v>
      </c>
      <c r="BO23" s="49">
        <v>409934.88800000004</v>
      </c>
      <c r="BP23" s="49">
        <v>411098.51399999991</v>
      </c>
      <c r="BQ23" s="49">
        <v>413178.09000000008</v>
      </c>
      <c r="BR23" s="49">
        <v>415592.42199999996</v>
      </c>
      <c r="BS23" s="50">
        <f t="shared" si="20"/>
        <v>419.51927599999993</v>
      </c>
      <c r="BT23" s="50">
        <f t="shared" si="22"/>
        <v>421.91484900000006</v>
      </c>
      <c r="BU23" s="50">
        <f t="shared" si="22"/>
        <v>424.30601700000005</v>
      </c>
      <c r="BV23" s="50">
        <f t="shared" si="22"/>
        <v>426.56600199999991</v>
      </c>
      <c r="BW23" s="50">
        <f t="shared" si="22"/>
        <v>428.78371299999998</v>
      </c>
      <c r="BX23" s="50">
        <f t="shared" si="22"/>
        <v>430.90874200000002</v>
      </c>
      <c r="BY23" s="50">
        <f t="shared" si="22"/>
        <v>434.16774500000008</v>
      </c>
      <c r="BZ23" s="50">
        <f t="shared" si="22"/>
        <v>437.37794300000007</v>
      </c>
      <c r="CA23" s="50">
        <f t="shared" si="22"/>
        <v>440.62761800000004</v>
      </c>
      <c r="CB23" s="50">
        <f t="shared" si="22"/>
        <v>443.88245499999994</v>
      </c>
      <c r="CC23" s="50">
        <f t="shared" si="22"/>
        <v>447.170571</v>
      </c>
      <c r="CD23" s="50">
        <f t="shared" si="22"/>
        <v>450.45958399999995</v>
      </c>
      <c r="CE23" s="50">
        <f t="shared" si="22"/>
        <v>453.84060300000004</v>
      </c>
      <c r="CF23" s="50">
        <f t="shared" si="22"/>
        <v>457.22068700000011</v>
      </c>
      <c r="CG23" s="50">
        <f t="shared" si="22"/>
        <v>460.53259600000013</v>
      </c>
      <c r="CH23" s="50">
        <f t="shared" si="22"/>
        <v>463.95140500000002</v>
      </c>
      <c r="CI23" s="50">
        <f t="shared" si="22"/>
        <v>467.53454299999987</v>
      </c>
      <c r="CJ23" s="50">
        <f t="shared" si="22"/>
        <v>471.08266299999997</v>
      </c>
      <c r="CK23" s="50">
        <f t="shared" si="22"/>
        <v>474.54218500000013</v>
      </c>
      <c r="CL23" s="50">
        <f t="shared" si="22"/>
        <v>477.88041499999997</v>
      </c>
      <c r="CM23" s="50">
        <f t="shared" si="22"/>
        <v>481.31935800000002</v>
      </c>
      <c r="CN23" s="50">
        <f t="shared" si="22"/>
        <v>484.79376400000007</v>
      </c>
      <c r="CO23" s="50">
        <f t="shared" si="22"/>
        <v>488.25174699999991</v>
      </c>
      <c r="CP23" s="50">
        <f t="shared" si="22"/>
        <v>491.61633199999994</v>
      </c>
      <c r="CQ23" s="50">
        <f t="shared" si="22"/>
        <v>494.85578900000002</v>
      </c>
      <c r="CR23" s="50">
        <f t="shared" si="22"/>
        <v>498.13594799999998</v>
      </c>
    </row>
    <row r="24" spans="1:96" ht="15.75" thickTop="1" x14ac:dyDescent="0.25">
      <c r="A24" s="62" t="s">
        <v>117</v>
      </c>
      <c r="B24" s="63">
        <f t="shared" si="23"/>
        <v>70500</v>
      </c>
      <c r="C24" s="67">
        <f t="shared" ref="C24:C31" si="27">ROUND(INDEX($BS$47:$CR$55,MATCH(A24,$BB$47:$BB$55,0),MATCH($CU$46,$BS$45:$CR$45,0)),-2)</f>
        <v>77400</v>
      </c>
      <c r="D24" s="67">
        <f t="shared" si="24"/>
        <v>6900</v>
      </c>
      <c r="E24" s="68">
        <f t="shared" si="25"/>
        <v>300</v>
      </c>
      <c r="F24" s="69">
        <f t="shared" si="26"/>
        <v>9.787234042553191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</row>
    <row r="25" spans="1:96" ht="15.75" x14ac:dyDescent="0.25">
      <c r="A25" s="62" t="s">
        <v>118</v>
      </c>
      <c r="B25" s="63">
        <f t="shared" si="23"/>
        <v>82800</v>
      </c>
      <c r="C25" s="67">
        <f t="shared" si="27"/>
        <v>90100</v>
      </c>
      <c r="D25" s="67">
        <f t="shared" si="24"/>
        <v>7300</v>
      </c>
      <c r="E25" s="68">
        <f t="shared" si="25"/>
        <v>300</v>
      </c>
      <c r="F25" s="69">
        <f t="shared" si="26"/>
        <v>8.8164251207729478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BB25" s="59" t="s">
        <v>147</v>
      </c>
    </row>
    <row r="26" spans="1:96" x14ac:dyDescent="0.25">
      <c r="A26" s="62" t="s">
        <v>119</v>
      </c>
      <c r="B26" s="63">
        <f t="shared" si="23"/>
        <v>85800</v>
      </c>
      <c r="C26" s="67">
        <f t="shared" si="27"/>
        <v>95000</v>
      </c>
      <c r="D26" s="67">
        <f t="shared" si="24"/>
        <v>9200</v>
      </c>
      <c r="E26" s="68">
        <f t="shared" si="25"/>
        <v>400</v>
      </c>
      <c r="F26" s="69">
        <f t="shared" si="26"/>
        <v>10.722610722610723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AR26" s="54" t="s">
        <v>127</v>
      </c>
      <c r="AS26" s="25">
        <f>SUM(AS16:AS21)</f>
        <v>97184.242999999988</v>
      </c>
      <c r="AT26" s="25">
        <f>SUM(AT16:AT21)</f>
        <v>140432.80100000001</v>
      </c>
      <c r="AU26" s="25">
        <f>AT26-AS26</f>
        <v>43248.558000000019</v>
      </c>
      <c r="AV26" s="25">
        <f>AU26/25</f>
        <v>1729.9423200000008</v>
      </c>
      <c r="AW26" s="25">
        <f>AU26/AT26*100</f>
        <v>30.796621367681769</v>
      </c>
      <c r="AX26" s="57">
        <v>0.55000000000000004</v>
      </c>
      <c r="BB26" s="53" t="s">
        <v>98</v>
      </c>
      <c r="BC26" s="1" t="s">
        <v>99</v>
      </c>
      <c r="BD26" s="1">
        <v>2001</v>
      </c>
      <c r="BE26" s="1">
        <v>2002</v>
      </c>
      <c r="BF26" s="1">
        <v>2003</v>
      </c>
      <c r="BG26" s="1">
        <v>2004</v>
      </c>
      <c r="BH26" s="1">
        <v>2005</v>
      </c>
      <c r="BI26" s="1">
        <v>2006</v>
      </c>
      <c r="BJ26" s="1">
        <v>2007</v>
      </c>
      <c r="BK26" s="1">
        <v>2008</v>
      </c>
      <c r="BL26" s="1">
        <v>2009</v>
      </c>
      <c r="BM26" s="1">
        <v>2010</v>
      </c>
      <c r="BN26" s="1">
        <v>2011</v>
      </c>
      <c r="BO26" s="1">
        <v>2012</v>
      </c>
      <c r="BP26" s="1">
        <v>2013</v>
      </c>
      <c r="BQ26" s="1">
        <v>2014</v>
      </c>
      <c r="BR26" s="1">
        <v>2015</v>
      </c>
      <c r="BS26" s="1">
        <v>2016</v>
      </c>
      <c r="BT26" s="1">
        <v>2017</v>
      </c>
      <c r="BU26" s="1">
        <v>2018</v>
      </c>
      <c r="BV26" s="1">
        <v>2019</v>
      </c>
      <c r="BW26" s="1">
        <v>2020</v>
      </c>
      <c r="BX26" s="1">
        <v>2021</v>
      </c>
      <c r="BY26" s="1">
        <v>2022</v>
      </c>
      <c r="BZ26" s="1">
        <v>2023</v>
      </c>
      <c r="CA26" s="1">
        <v>2024</v>
      </c>
      <c r="CB26" s="1">
        <v>2025</v>
      </c>
      <c r="CC26" s="1">
        <v>2026</v>
      </c>
      <c r="CD26" s="1">
        <v>2027</v>
      </c>
      <c r="CE26" s="1">
        <v>2028</v>
      </c>
      <c r="CF26" s="1">
        <v>2029</v>
      </c>
      <c r="CG26" s="1">
        <v>2030</v>
      </c>
      <c r="CH26" s="1">
        <v>2031</v>
      </c>
      <c r="CI26" s="1">
        <v>2032</v>
      </c>
      <c r="CJ26" s="1">
        <v>2033</v>
      </c>
      <c r="CK26" s="1">
        <v>2034</v>
      </c>
      <c r="CL26" s="1">
        <v>2035</v>
      </c>
      <c r="CM26" s="1">
        <v>2036</v>
      </c>
      <c r="CN26" s="1">
        <v>2037</v>
      </c>
      <c r="CO26" s="1">
        <v>2038</v>
      </c>
      <c r="CP26" s="1">
        <v>2039</v>
      </c>
      <c r="CQ26" s="1">
        <v>2040</v>
      </c>
      <c r="CR26" s="1">
        <v>2041</v>
      </c>
    </row>
    <row r="27" spans="1:96" x14ac:dyDescent="0.25">
      <c r="A27" s="62" t="s">
        <v>108</v>
      </c>
      <c r="B27" s="63">
        <f t="shared" si="23"/>
        <v>34600</v>
      </c>
      <c r="C27" s="67">
        <f t="shared" si="27"/>
        <v>40800</v>
      </c>
      <c r="D27" s="67">
        <f t="shared" si="24"/>
        <v>6200</v>
      </c>
      <c r="E27" s="68">
        <f t="shared" si="25"/>
        <v>200</v>
      </c>
      <c r="F27" s="69">
        <f t="shared" si="26"/>
        <v>17.919075144508671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AR27" s="54" t="s">
        <v>141</v>
      </c>
      <c r="AS27" s="25">
        <f>SUM(AS6:AS15)</f>
        <v>322335.03299999994</v>
      </c>
      <c r="AT27" s="25">
        <f>SUM(AT6:AT15)</f>
        <v>357703.147</v>
      </c>
      <c r="AU27" s="25">
        <f>AT27-AS27</f>
        <v>35368.11400000006</v>
      </c>
      <c r="AV27" s="25">
        <f>AU27/25</f>
        <v>1414.7245600000024</v>
      </c>
      <c r="AW27" s="48">
        <f>AU27/AS27*100</f>
        <v>10.972469753233453</v>
      </c>
      <c r="BB27" s="54" t="s">
        <v>100</v>
      </c>
      <c r="BC27" s="13" t="s">
        <v>97</v>
      </c>
      <c r="BD27" s="25">
        <f>BD65+BD81</f>
        <v>4595.6720000000005</v>
      </c>
      <c r="BE27" s="25">
        <f t="shared" ref="BE27:CR27" si="28">BE65+BE81</f>
        <v>4335.1949999999997</v>
      </c>
      <c r="BF27" s="25">
        <f t="shared" si="28"/>
        <v>4149.616</v>
      </c>
      <c r="BG27" s="25">
        <f t="shared" si="28"/>
        <v>3909.1410000000005</v>
      </c>
      <c r="BH27" s="25">
        <f t="shared" si="28"/>
        <v>3656.3070000000002</v>
      </c>
      <c r="BI27" s="25">
        <f t="shared" si="28"/>
        <v>3391.6779999999999</v>
      </c>
      <c r="BJ27" s="25">
        <f t="shared" si="28"/>
        <v>3169.9520000000002</v>
      </c>
      <c r="BK27" s="25">
        <f t="shared" si="28"/>
        <v>2958.4670000000001</v>
      </c>
      <c r="BL27" s="25">
        <f t="shared" si="28"/>
        <v>2808.4189999999999</v>
      </c>
      <c r="BM27" s="25">
        <f t="shared" si="28"/>
        <v>2649.6219999999998</v>
      </c>
      <c r="BN27" s="25">
        <f t="shared" si="28"/>
        <v>2334.96</v>
      </c>
      <c r="BO27" s="25">
        <f t="shared" si="28"/>
        <v>2151.9659999999999</v>
      </c>
      <c r="BP27" s="25">
        <f t="shared" si="28"/>
        <v>1995.2220000000002</v>
      </c>
      <c r="BQ27" s="25">
        <f t="shared" si="28"/>
        <v>1847.4859999999999</v>
      </c>
      <c r="BR27" s="25">
        <f t="shared" si="28"/>
        <v>1731.0500000000002</v>
      </c>
      <c r="BS27" s="25">
        <f t="shared" si="28"/>
        <v>1595.8429999999998</v>
      </c>
      <c r="BT27" s="25">
        <f t="shared" si="28"/>
        <v>1456.9850000000001</v>
      </c>
      <c r="BU27" s="25">
        <f t="shared" si="28"/>
        <v>1313.2190000000001</v>
      </c>
      <c r="BV27" s="25">
        <f t="shared" si="28"/>
        <v>1198.2660000000001</v>
      </c>
      <c r="BW27" s="25">
        <f t="shared" si="28"/>
        <v>1107.873</v>
      </c>
      <c r="BX27" s="25">
        <f t="shared" si="28"/>
        <v>1038.1420000000001</v>
      </c>
      <c r="BY27" s="25">
        <f t="shared" si="28"/>
        <v>1075.068</v>
      </c>
      <c r="BZ27" s="25">
        <f t="shared" si="28"/>
        <v>1097.962</v>
      </c>
      <c r="CA27" s="25">
        <f t="shared" si="28"/>
        <v>1123.943</v>
      </c>
      <c r="CB27" s="25">
        <f t="shared" si="28"/>
        <v>1146.203</v>
      </c>
      <c r="CC27" s="25">
        <f t="shared" si="28"/>
        <v>1150.479</v>
      </c>
      <c r="CD27" s="25">
        <f t="shared" si="28"/>
        <v>1169.6300000000001</v>
      </c>
      <c r="CE27" s="25">
        <f t="shared" si="28"/>
        <v>1185.22</v>
      </c>
      <c r="CF27" s="25">
        <f t="shared" si="28"/>
        <v>1198.96</v>
      </c>
      <c r="CG27" s="25">
        <f t="shared" si="28"/>
        <v>1214.3130000000001</v>
      </c>
      <c r="CH27" s="25">
        <f t="shared" si="28"/>
        <v>1216.145</v>
      </c>
      <c r="CI27" s="25">
        <f t="shared" si="28"/>
        <v>1207.4450000000002</v>
      </c>
      <c r="CJ27" s="25">
        <f t="shared" si="28"/>
        <v>1195.1179999999999</v>
      </c>
      <c r="CK27" s="25">
        <f t="shared" si="28"/>
        <v>1193.799</v>
      </c>
      <c r="CL27" s="25">
        <f t="shared" si="28"/>
        <v>1196.011</v>
      </c>
      <c r="CM27" s="25">
        <f t="shared" si="28"/>
        <v>1191.864</v>
      </c>
      <c r="CN27" s="25">
        <f t="shared" si="28"/>
        <v>1198.538</v>
      </c>
      <c r="CO27" s="25">
        <f t="shared" si="28"/>
        <v>1200.395</v>
      </c>
      <c r="CP27" s="25">
        <f t="shared" si="28"/>
        <v>1202.57</v>
      </c>
      <c r="CQ27" s="25">
        <f t="shared" si="28"/>
        <v>1204.932</v>
      </c>
      <c r="CR27" s="25">
        <f t="shared" si="28"/>
        <v>1206.6990000000001</v>
      </c>
    </row>
    <row r="28" spans="1:96" x14ac:dyDescent="0.25">
      <c r="A28" s="62" t="s">
        <v>109</v>
      </c>
      <c r="B28" s="63">
        <f t="shared" si="23"/>
        <v>28600</v>
      </c>
      <c r="C28" s="67">
        <f t="shared" si="27"/>
        <v>34800</v>
      </c>
      <c r="D28" s="67">
        <f t="shared" si="24"/>
        <v>6200</v>
      </c>
      <c r="E28" s="68">
        <f t="shared" si="25"/>
        <v>200</v>
      </c>
      <c r="F28" s="69">
        <f t="shared" si="26"/>
        <v>21.678321678321677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BB28" s="54" t="s">
        <v>101</v>
      </c>
      <c r="BC28" s="13" t="s">
        <v>97</v>
      </c>
      <c r="BD28" s="25">
        <f t="shared" ref="BD28:CR34" si="29">BD66+BD82</f>
        <v>18606.004999999997</v>
      </c>
      <c r="BE28" s="25">
        <f t="shared" si="29"/>
        <v>19249.213</v>
      </c>
      <c r="BF28" s="25">
        <f t="shared" si="29"/>
        <v>19910.371999999999</v>
      </c>
      <c r="BG28" s="25">
        <f t="shared" si="29"/>
        <v>20644.5</v>
      </c>
      <c r="BH28" s="25">
        <f t="shared" si="29"/>
        <v>21018.886999999999</v>
      </c>
      <c r="BI28" s="25">
        <f t="shared" si="29"/>
        <v>20635.080000000002</v>
      </c>
      <c r="BJ28" s="25">
        <f t="shared" si="29"/>
        <v>20348.646000000001</v>
      </c>
      <c r="BK28" s="25">
        <f t="shared" si="29"/>
        <v>19832.628000000001</v>
      </c>
      <c r="BL28" s="25">
        <f t="shared" si="29"/>
        <v>19091.803</v>
      </c>
      <c r="BM28" s="25">
        <f t="shared" si="29"/>
        <v>18806.811000000002</v>
      </c>
      <c r="BN28" s="25">
        <f t="shared" si="29"/>
        <v>18507.839</v>
      </c>
      <c r="BO28" s="25">
        <f t="shared" si="29"/>
        <v>18730.09</v>
      </c>
      <c r="BP28" s="25">
        <f t="shared" si="29"/>
        <v>18409.192999999999</v>
      </c>
      <c r="BQ28" s="25">
        <f t="shared" si="29"/>
        <v>18355.705999999998</v>
      </c>
      <c r="BR28" s="25">
        <f t="shared" si="29"/>
        <v>18333.116000000002</v>
      </c>
      <c r="BS28" s="25">
        <f t="shared" si="29"/>
        <v>18438.03</v>
      </c>
      <c r="BT28" s="25">
        <f t="shared" si="29"/>
        <v>18147.512000000002</v>
      </c>
      <c r="BU28" s="25">
        <f t="shared" si="29"/>
        <v>17899.107</v>
      </c>
      <c r="BV28" s="25">
        <f t="shared" si="29"/>
        <v>17479.016</v>
      </c>
      <c r="BW28" s="25">
        <f t="shared" si="29"/>
        <v>17045.152999999998</v>
      </c>
      <c r="BX28" s="25">
        <f t="shared" si="29"/>
        <v>16477.675999999999</v>
      </c>
      <c r="BY28" s="25">
        <f t="shared" si="29"/>
        <v>16169.583000000001</v>
      </c>
      <c r="BZ28" s="25">
        <f t="shared" si="29"/>
        <v>15959.445</v>
      </c>
      <c r="CA28" s="25">
        <f t="shared" si="29"/>
        <v>15921.187000000002</v>
      </c>
      <c r="CB28" s="25">
        <f t="shared" si="29"/>
        <v>16052.315999999999</v>
      </c>
      <c r="CC28" s="25">
        <f t="shared" si="29"/>
        <v>16364.454</v>
      </c>
      <c r="CD28" s="25">
        <f t="shared" si="29"/>
        <v>16759.752</v>
      </c>
      <c r="CE28" s="25">
        <f t="shared" si="29"/>
        <v>17217.921999999999</v>
      </c>
      <c r="CF28" s="25">
        <f t="shared" si="29"/>
        <v>17592.152999999998</v>
      </c>
      <c r="CG28" s="25">
        <f t="shared" si="29"/>
        <v>17853.888999999999</v>
      </c>
      <c r="CH28" s="25">
        <f t="shared" si="29"/>
        <v>18099.612999999998</v>
      </c>
      <c r="CI28" s="25">
        <f t="shared" si="29"/>
        <v>18440.909</v>
      </c>
      <c r="CJ28" s="25">
        <f t="shared" si="29"/>
        <v>18593.046999999999</v>
      </c>
      <c r="CK28" s="25">
        <f t="shared" si="29"/>
        <v>18670.805</v>
      </c>
      <c r="CL28" s="25">
        <f t="shared" si="29"/>
        <v>18712.953999999998</v>
      </c>
      <c r="CM28" s="25">
        <f t="shared" si="29"/>
        <v>18706.565000000002</v>
      </c>
      <c r="CN28" s="25">
        <f t="shared" si="29"/>
        <v>18497.404999999999</v>
      </c>
      <c r="CO28" s="25">
        <f t="shared" si="29"/>
        <v>18412.205999999998</v>
      </c>
      <c r="CP28" s="25">
        <f t="shared" si="29"/>
        <v>18384.667000000001</v>
      </c>
      <c r="CQ28" s="25">
        <f t="shared" si="29"/>
        <v>18377.25</v>
      </c>
      <c r="CR28" s="25">
        <f t="shared" si="29"/>
        <v>18346.518</v>
      </c>
    </row>
    <row r="29" spans="1:96" x14ac:dyDescent="0.25">
      <c r="A29" s="62" t="s">
        <v>120</v>
      </c>
      <c r="B29" s="63">
        <f t="shared" si="23"/>
        <v>46300</v>
      </c>
      <c r="C29" s="67">
        <f t="shared" si="27"/>
        <v>60400</v>
      </c>
      <c r="D29" s="67">
        <f t="shared" si="24"/>
        <v>14100</v>
      </c>
      <c r="E29" s="68">
        <f t="shared" si="25"/>
        <v>600</v>
      </c>
      <c r="F29" s="69">
        <f t="shared" si="26"/>
        <v>30.45356371490281</v>
      </c>
      <c r="I29" s="25"/>
      <c r="J29" s="25"/>
      <c r="K29" s="25"/>
      <c r="L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BB29" s="54" t="s">
        <v>102</v>
      </c>
      <c r="BC29" s="13" t="s">
        <v>97</v>
      </c>
      <c r="BD29" s="25">
        <f t="shared" si="29"/>
        <v>29833.040000000001</v>
      </c>
      <c r="BE29" s="25">
        <f t="shared" si="29"/>
        <v>29090.33</v>
      </c>
      <c r="BF29" s="25">
        <f t="shared" si="29"/>
        <v>28666.010000000002</v>
      </c>
      <c r="BG29" s="25">
        <f t="shared" si="29"/>
        <v>28798.46</v>
      </c>
      <c r="BH29" s="25">
        <f t="shared" si="29"/>
        <v>30129.040000000001</v>
      </c>
      <c r="BI29" s="25">
        <f t="shared" si="29"/>
        <v>30936.15</v>
      </c>
      <c r="BJ29" s="25">
        <f t="shared" si="29"/>
        <v>31867.439999999999</v>
      </c>
      <c r="BK29" s="25">
        <f t="shared" si="29"/>
        <v>32756.39</v>
      </c>
      <c r="BL29" s="25">
        <f t="shared" si="29"/>
        <v>32577.43</v>
      </c>
      <c r="BM29" s="25">
        <f t="shared" si="29"/>
        <v>32094.959999999999</v>
      </c>
      <c r="BN29" s="25">
        <f t="shared" si="29"/>
        <v>31531.360000000001</v>
      </c>
      <c r="BO29" s="25">
        <f t="shared" si="29"/>
        <v>31297.79</v>
      </c>
      <c r="BP29" s="25">
        <f t="shared" si="29"/>
        <v>30923.03</v>
      </c>
      <c r="BQ29" s="25">
        <f t="shared" si="29"/>
        <v>30829.759999999998</v>
      </c>
      <c r="BR29" s="25">
        <f t="shared" si="29"/>
        <v>31011.260000000002</v>
      </c>
      <c r="BS29" s="25">
        <f t="shared" si="29"/>
        <v>31834.31</v>
      </c>
      <c r="BT29" s="25">
        <f t="shared" si="29"/>
        <v>32187.409999999996</v>
      </c>
      <c r="BU29" s="25">
        <f t="shared" si="29"/>
        <v>32320.959999999999</v>
      </c>
      <c r="BV29" s="25">
        <f t="shared" si="29"/>
        <v>32443.39</v>
      </c>
      <c r="BW29" s="25">
        <f t="shared" si="29"/>
        <v>32148.620000000003</v>
      </c>
      <c r="BX29" s="25">
        <f t="shared" si="29"/>
        <v>31612.78</v>
      </c>
      <c r="BY29" s="25">
        <f t="shared" si="29"/>
        <v>31543.940000000002</v>
      </c>
      <c r="BZ29" s="25">
        <f t="shared" si="29"/>
        <v>31510.16</v>
      </c>
      <c r="CA29" s="25">
        <f t="shared" si="29"/>
        <v>31276.82</v>
      </c>
      <c r="CB29" s="25">
        <f t="shared" si="29"/>
        <v>31042.35</v>
      </c>
      <c r="CC29" s="25">
        <f t="shared" si="29"/>
        <v>30597.91</v>
      </c>
      <c r="CD29" s="25">
        <f t="shared" si="29"/>
        <v>30023.260000000002</v>
      </c>
      <c r="CE29" s="25">
        <f t="shared" si="29"/>
        <v>29665.370000000003</v>
      </c>
      <c r="CF29" s="25">
        <f t="shared" si="29"/>
        <v>29573.96</v>
      </c>
      <c r="CG29" s="25">
        <f t="shared" si="29"/>
        <v>29761.14</v>
      </c>
      <c r="CH29" s="25">
        <f t="shared" si="29"/>
        <v>30280.730000000003</v>
      </c>
      <c r="CI29" s="25">
        <f t="shared" si="29"/>
        <v>31000.629999999997</v>
      </c>
      <c r="CJ29" s="25">
        <f t="shared" si="29"/>
        <v>31809.43</v>
      </c>
      <c r="CK29" s="25">
        <f t="shared" si="29"/>
        <v>32453.87</v>
      </c>
      <c r="CL29" s="25">
        <f t="shared" si="29"/>
        <v>32971.729999999996</v>
      </c>
      <c r="CM29" s="25">
        <f t="shared" si="29"/>
        <v>33430.1</v>
      </c>
      <c r="CN29" s="25">
        <f t="shared" si="29"/>
        <v>34002.43</v>
      </c>
      <c r="CO29" s="25">
        <f t="shared" si="29"/>
        <v>34239.699999999997</v>
      </c>
      <c r="CP29" s="25">
        <f t="shared" si="29"/>
        <v>34370.729999999996</v>
      </c>
      <c r="CQ29" s="25">
        <f t="shared" si="29"/>
        <v>34436.800000000003</v>
      </c>
      <c r="CR29" s="25">
        <f t="shared" si="29"/>
        <v>34406.42</v>
      </c>
    </row>
    <row r="30" spans="1:96" x14ac:dyDescent="0.25">
      <c r="A30" s="62" t="s">
        <v>121</v>
      </c>
      <c r="B30" s="63">
        <f t="shared" si="23"/>
        <v>34900</v>
      </c>
      <c r="C30" s="67">
        <f t="shared" si="27"/>
        <v>53200</v>
      </c>
      <c r="D30" s="67">
        <f t="shared" si="24"/>
        <v>18300</v>
      </c>
      <c r="E30" s="68">
        <f t="shared" si="25"/>
        <v>700</v>
      </c>
      <c r="F30" s="69">
        <f t="shared" si="26"/>
        <v>52.435530085959883</v>
      </c>
      <c r="I30" s="25"/>
      <c r="J30" s="25"/>
      <c r="K30" s="25"/>
      <c r="L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BB30" s="54" t="s">
        <v>103</v>
      </c>
      <c r="BC30" s="13" t="s">
        <v>97</v>
      </c>
      <c r="BD30" s="25">
        <f t="shared" si="29"/>
        <v>41594.839999999997</v>
      </c>
      <c r="BE30" s="25">
        <f t="shared" si="29"/>
        <v>40745.870000000003</v>
      </c>
      <c r="BF30" s="25">
        <f t="shared" si="29"/>
        <v>39640.909999999996</v>
      </c>
      <c r="BG30" s="25">
        <f t="shared" si="29"/>
        <v>38379.800000000003</v>
      </c>
      <c r="BH30" s="25">
        <f t="shared" si="29"/>
        <v>37618.5</v>
      </c>
      <c r="BI30" s="25">
        <f t="shared" si="29"/>
        <v>36651.279999999999</v>
      </c>
      <c r="BJ30" s="25">
        <f t="shared" si="29"/>
        <v>35946.04</v>
      </c>
      <c r="BK30" s="25">
        <f t="shared" si="29"/>
        <v>35971.160000000003</v>
      </c>
      <c r="BL30" s="25">
        <f t="shared" si="29"/>
        <v>36705.78</v>
      </c>
      <c r="BM30" s="25">
        <f t="shared" si="29"/>
        <v>37785.47</v>
      </c>
      <c r="BN30" s="25">
        <f t="shared" si="29"/>
        <v>38661.03</v>
      </c>
      <c r="BO30" s="25">
        <f t="shared" si="29"/>
        <v>38873.360000000001</v>
      </c>
      <c r="BP30" s="25">
        <f t="shared" si="29"/>
        <v>39260.78</v>
      </c>
      <c r="BQ30" s="25">
        <f t="shared" si="29"/>
        <v>38952.639999999999</v>
      </c>
      <c r="BR30" s="25">
        <f t="shared" si="29"/>
        <v>38670.46</v>
      </c>
      <c r="BS30" s="25">
        <f t="shared" si="29"/>
        <v>38621.619999999995</v>
      </c>
      <c r="BT30" s="25">
        <f t="shared" si="29"/>
        <v>38623.840000000004</v>
      </c>
      <c r="BU30" s="25">
        <f t="shared" si="29"/>
        <v>38477.919999999998</v>
      </c>
      <c r="BV30" s="25">
        <f t="shared" si="29"/>
        <v>38669.800000000003</v>
      </c>
      <c r="BW30" s="25">
        <f t="shared" si="29"/>
        <v>38872.879999999997</v>
      </c>
      <c r="BX30" s="25">
        <f t="shared" si="29"/>
        <v>39508.840000000004</v>
      </c>
      <c r="BY30" s="25">
        <f t="shared" si="29"/>
        <v>40257.869999999995</v>
      </c>
      <c r="BZ30" s="25">
        <f t="shared" si="29"/>
        <v>40724.080000000002</v>
      </c>
      <c r="CA30" s="25">
        <f t="shared" si="29"/>
        <v>41186.759999999995</v>
      </c>
      <c r="CB30" s="25">
        <f t="shared" si="29"/>
        <v>41155.68</v>
      </c>
      <c r="CC30" s="25">
        <f t="shared" si="29"/>
        <v>40858.009999999995</v>
      </c>
      <c r="CD30" s="25">
        <f t="shared" si="29"/>
        <v>40705.279999999999</v>
      </c>
      <c r="CE30" s="25">
        <f t="shared" si="29"/>
        <v>40573.770000000004</v>
      </c>
      <c r="CF30" s="25">
        <f t="shared" si="29"/>
        <v>40226.369999999995</v>
      </c>
      <c r="CG30" s="25">
        <f t="shared" si="29"/>
        <v>39881.03</v>
      </c>
      <c r="CH30" s="25">
        <f t="shared" si="29"/>
        <v>39284.979999999996</v>
      </c>
      <c r="CI30" s="25">
        <f t="shared" si="29"/>
        <v>38531.599999999999</v>
      </c>
      <c r="CJ30" s="25">
        <f t="shared" si="29"/>
        <v>38076.480000000003</v>
      </c>
      <c r="CK30" s="25">
        <f t="shared" si="29"/>
        <v>37958.120000000003</v>
      </c>
      <c r="CL30" s="25">
        <f t="shared" si="29"/>
        <v>38190.54</v>
      </c>
      <c r="CM30" s="25">
        <f t="shared" si="29"/>
        <v>38860.089999999997</v>
      </c>
      <c r="CN30" s="25">
        <f t="shared" si="29"/>
        <v>39798.769999999997</v>
      </c>
      <c r="CO30" s="25">
        <f t="shared" si="29"/>
        <v>40849.089999999997</v>
      </c>
      <c r="CP30" s="25">
        <f t="shared" si="29"/>
        <v>41674.370000000003</v>
      </c>
      <c r="CQ30" s="25">
        <f t="shared" si="29"/>
        <v>42369.479999999996</v>
      </c>
      <c r="CR30" s="25">
        <f t="shared" si="29"/>
        <v>42975.979999999996</v>
      </c>
    </row>
    <row r="31" spans="1:96" ht="15.75" thickBot="1" x14ac:dyDescent="0.3">
      <c r="A31" s="64" t="s">
        <v>122</v>
      </c>
      <c r="B31" s="65">
        <f t="shared" si="23"/>
        <v>16000</v>
      </c>
      <c r="C31" s="67">
        <f t="shared" si="27"/>
        <v>26800</v>
      </c>
      <c r="D31" s="67">
        <f t="shared" si="24"/>
        <v>10800</v>
      </c>
      <c r="E31" s="68">
        <f t="shared" si="25"/>
        <v>400</v>
      </c>
      <c r="F31" s="69">
        <f t="shared" si="26"/>
        <v>67.5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BB31" s="54" t="s">
        <v>104</v>
      </c>
      <c r="BC31" s="13" t="s">
        <v>97</v>
      </c>
      <c r="BD31" s="25">
        <f t="shared" si="29"/>
        <v>42222.990000000005</v>
      </c>
      <c r="BE31" s="25">
        <f t="shared" si="29"/>
        <v>42855.56</v>
      </c>
      <c r="BF31" s="25">
        <f t="shared" si="29"/>
        <v>43185.94</v>
      </c>
      <c r="BG31" s="25">
        <f t="shared" si="29"/>
        <v>43215.83</v>
      </c>
      <c r="BH31" s="25">
        <f t="shared" si="29"/>
        <v>43428.42</v>
      </c>
      <c r="BI31" s="25">
        <f t="shared" si="29"/>
        <v>43025.55</v>
      </c>
      <c r="BJ31" s="25">
        <f t="shared" si="29"/>
        <v>42559.56</v>
      </c>
      <c r="BK31" s="25">
        <f t="shared" si="29"/>
        <v>41884.46</v>
      </c>
      <c r="BL31" s="25">
        <f t="shared" si="29"/>
        <v>41246.17</v>
      </c>
      <c r="BM31" s="25">
        <f t="shared" si="29"/>
        <v>40528.83</v>
      </c>
      <c r="BN31" s="25">
        <f t="shared" si="29"/>
        <v>40313.4</v>
      </c>
      <c r="BO31" s="25">
        <f t="shared" si="29"/>
        <v>39833</v>
      </c>
      <c r="BP31" s="25">
        <f t="shared" si="29"/>
        <v>39316.620000000003</v>
      </c>
      <c r="BQ31" s="25">
        <f t="shared" si="29"/>
        <v>39701.590000000004</v>
      </c>
      <c r="BR31" s="25">
        <f t="shared" si="29"/>
        <v>40656.400000000001</v>
      </c>
      <c r="BS31" s="25">
        <f t="shared" si="29"/>
        <v>41484.589999999997</v>
      </c>
      <c r="BT31" s="25">
        <f t="shared" si="29"/>
        <v>42114.17</v>
      </c>
      <c r="BU31" s="25">
        <f t="shared" si="29"/>
        <v>42926.62</v>
      </c>
      <c r="BV31" s="25">
        <f t="shared" si="29"/>
        <v>42939.229999999996</v>
      </c>
      <c r="BW31" s="25">
        <f t="shared" si="29"/>
        <v>42751.509999999995</v>
      </c>
      <c r="BX31" s="25">
        <f t="shared" si="29"/>
        <v>42687.37</v>
      </c>
      <c r="BY31" s="25">
        <f t="shared" si="29"/>
        <v>42970.619999999995</v>
      </c>
      <c r="BZ31" s="25">
        <f t="shared" si="29"/>
        <v>43147.69</v>
      </c>
      <c r="CA31" s="25">
        <f t="shared" si="29"/>
        <v>43661</v>
      </c>
      <c r="CB31" s="25">
        <f t="shared" si="29"/>
        <v>44184.28</v>
      </c>
      <c r="CC31" s="25">
        <f t="shared" si="29"/>
        <v>45170.11</v>
      </c>
      <c r="CD31" s="25">
        <f t="shared" si="29"/>
        <v>45942.47</v>
      </c>
      <c r="CE31" s="25">
        <f t="shared" si="29"/>
        <v>46389.72</v>
      </c>
      <c r="CF31" s="25">
        <f t="shared" si="29"/>
        <v>46829.490000000005</v>
      </c>
      <c r="CG31" s="25">
        <f t="shared" si="29"/>
        <v>46726.17</v>
      </c>
      <c r="CH31" s="25">
        <f t="shared" si="29"/>
        <v>46322.36</v>
      </c>
      <c r="CI31" s="25">
        <f t="shared" si="29"/>
        <v>46104.14</v>
      </c>
      <c r="CJ31" s="25">
        <f t="shared" si="29"/>
        <v>45896.79</v>
      </c>
      <c r="CK31" s="25">
        <f t="shared" si="29"/>
        <v>45464.66</v>
      </c>
      <c r="CL31" s="25">
        <f t="shared" si="29"/>
        <v>45044.32</v>
      </c>
      <c r="CM31" s="25">
        <f t="shared" si="29"/>
        <v>44352.15</v>
      </c>
      <c r="CN31" s="25">
        <f t="shared" si="29"/>
        <v>43484.25</v>
      </c>
      <c r="CO31" s="25">
        <f t="shared" si="29"/>
        <v>42959.69</v>
      </c>
      <c r="CP31" s="25">
        <f t="shared" si="29"/>
        <v>42817.2</v>
      </c>
      <c r="CQ31" s="25">
        <f t="shared" si="29"/>
        <v>43072.46</v>
      </c>
      <c r="CR31" s="25">
        <f t="shared" si="29"/>
        <v>43833.79</v>
      </c>
    </row>
    <row r="32" spans="1:96" ht="15.75" thickBot="1" x14ac:dyDescent="0.3">
      <c r="A32" s="74" t="s">
        <v>151</v>
      </c>
      <c r="B32" s="75">
        <f>ROUND(SUM(B23:B31),-2)</f>
        <v>419500</v>
      </c>
      <c r="C32" s="75">
        <f>ROUND(SUM(C23:C31),-2)</f>
        <v>498100</v>
      </c>
      <c r="D32" s="75">
        <f t="shared" si="24"/>
        <v>78600</v>
      </c>
      <c r="E32" s="75">
        <f t="shared" si="25"/>
        <v>3100</v>
      </c>
      <c r="F32" s="76">
        <f t="shared" si="26"/>
        <v>18.736591179976163</v>
      </c>
      <c r="BB32" s="54" t="s">
        <v>105</v>
      </c>
      <c r="BC32" s="13" t="s">
        <v>97</v>
      </c>
      <c r="BD32" s="25">
        <f t="shared" si="29"/>
        <v>37588.1</v>
      </c>
      <c r="BE32" s="25">
        <f t="shared" si="29"/>
        <v>38483.360000000001</v>
      </c>
      <c r="BF32" s="25">
        <f t="shared" si="29"/>
        <v>39324.699999999997</v>
      </c>
      <c r="BG32" s="25">
        <f t="shared" si="29"/>
        <v>40026.050000000003</v>
      </c>
      <c r="BH32" s="25">
        <f t="shared" si="29"/>
        <v>41065.770000000004</v>
      </c>
      <c r="BI32" s="25">
        <f t="shared" si="29"/>
        <v>41784.61</v>
      </c>
      <c r="BJ32" s="25">
        <f t="shared" si="29"/>
        <v>42381.36</v>
      </c>
      <c r="BK32" s="25">
        <f t="shared" si="29"/>
        <v>42853.760000000002</v>
      </c>
      <c r="BL32" s="25">
        <f t="shared" si="29"/>
        <v>43297.31</v>
      </c>
      <c r="BM32" s="25">
        <f t="shared" si="29"/>
        <v>43469.11</v>
      </c>
      <c r="BN32" s="25">
        <f t="shared" si="29"/>
        <v>43512.3</v>
      </c>
      <c r="BO32" s="25">
        <f t="shared" si="29"/>
        <v>43409.47</v>
      </c>
      <c r="BP32" s="25">
        <f t="shared" si="29"/>
        <v>42986.39</v>
      </c>
      <c r="BQ32" s="25">
        <f t="shared" si="29"/>
        <v>42329.240000000005</v>
      </c>
      <c r="BR32" s="25">
        <f t="shared" si="29"/>
        <v>41585.78</v>
      </c>
      <c r="BS32" s="25">
        <f t="shared" si="29"/>
        <v>41298.120000000003</v>
      </c>
      <c r="BT32" s="25">
        <f t="shared" si="29"/>
        <v>40691.759999999995</v>
      </c>
      <c r="BU32" s="25">
        <f t="shared" si="29"/>
        <v>40461.850000000006</v>
      </c>
      <c r="BV32" s="25">
        <f t="shared" si="29"/>
        <v>41064.18</v>
      </c>
      <c r="BW32" s="25">
        <f t="shared" si="29"/>
        <v>42178.130000000005</v>
      </c>
      <c r="BX32" s="25">
        <f t="shared" si="29"/>
        <v>43063.19</v>
      </c>
      <c r="BY32" s="25">
        <f t="shared" si="29"/>
        <v>43869.1</v>
      </c>
      <c r="BZ32" s="25">
        <f t="shared" si="29"/>
        <v>44820.33</v>
      </c>
      <c r="CA32" s="25">
        <f t="shared" si="29"/>
        <v>44974.64</v>
      </c>
      <c r="CB32" s="25">
        <f t="shared" si="29"/>
        <v>44911.71</v>
      </c>
      <c r="CC32" s="25">
        <f t="shared" si="29"/>
        <v>44988.19</v>
      </c>
      <c r="CD32" s="25">
        <f t="shared" si="29"/>
        <v>45273.19</v>
      </c>
      <c r="CE32" s="25">
        <f t="shared" si="29"/>
        <v>45489.31</v>
      </c>
      <c r="CF32" s="25">
        <f t="shared" si="29"/>
        <v>46021.770000000004</v>
      </c>
      <c r="CG32" s="25">
        <f t="shared" si="29"/>
        <v>46556.09</v>
      </c>
      <c r="CH32" s="25">
        <f t="shared" si="29"/>
        <v>47536.44</v>
      </c>
      <c r="CI32" s="25">
        <f t="shared" si="29"/>
        <v>48294.84</v>
      </c>
      <c r="CJ32" s="25">
        <f t="shared" si="29"/>
        <v>48702.45</v>
      </c>
      <c r="CK32" s="25">
        <f t="shared" si="29"/>
        <v>49103.94</v>
      </c>
      <c r="CL32" s="25">
        <f t="shared" si="29"/>
        <v>48951.56</v>
      </c>
      <c r="CM32" s="25">
        <f t="shared" si="29"/>
        <v>48491.479999999996</v>
      </c>
      <c r="CN32" s="25">
        <f t="shared" si="29"/>
        <v>48230</v>
      </c>
      <c r="CO32" s="25">
        <f t="shared" si="29"/>
        <v>47977.729999999996</v>
      </c>
      <c r="CP32" s="25">
        <f t="shared" si="29"/>
        <v>47502.3</v>
      </c>
      <c r="CQ32" s="25">
        <f t="shared" si="29"/>
        <v>47043.66</v>
      </c>
      <c r="CR32" s="25">
        <f t="shared" si="29"/>
        <v>46309.11</v>
      </c>
    </row>
    <row r="33" spans="1:99" x14ac:dyDescent="0.25">
      <c r="BB33" s="54" t="s">
        <v>106</v>
      </c>
      <c r="BC33" s="13" t="s">
        <v>97</v>
      </c>
      <c r="BD33" s="25">
        <f t="shared" si="29"/>
        <v>33235.56</v>
      </c>
      <c r="BE33" s="25">
        <f t="shared" si="29"/>
        <v>33609.490000000005</v>
      </c>
      <c r="BF33" s="25">
        <f t="shared" si="29"/>
        <v>34176.28</v>
      </c>
      <c r="BG33" s="25">
        <f t="shared" si="29"/>
        <v>34914.660000000003</v>
      </c>
      <c r="BH33" s="25">
        <f t="shared" si="29"/>
        <v>35901.479999999996</v>
      </c>
      <c r="BI33" s="25">
        <f t="shared" si="29"/>
        <v>37016.9</v>
      </c>
      <c r="BJ33" s="25">
        <f t="shared" si="29"/>
        <v>38081.919999999998</v>
      </c>
      <c r="BK33" s="25">
        <f t="shared" si="29"/>
        <v>39200.14</v>
      </c>
      <c r="BL33" s="25">
        <f t="shared" si="29"/>
        <v>40380.79</v>
      </c>
      <c r="BM33" s="25">
        <f t="shared" si="29"/>
        <v>41589.160000000003</v>
      </c>
      <c r="BN33" s="25">
        <f t="shared" si="29"/>
        <v>42477.61</v>
      </c>
      <c r="BO33" s="25">
        <f t="shared" si="29"/>
        <v>42769.880000000005</v>
      </c>
      <c r="BP33" s="25">
        <f t="shared" si="29"/>
        <v>43054.8</v>
      </c>
      <c r="BQ33" s="25">
        <f t="shared" si="29"/>
        <v>43365.85</v>
      </c>
      <c r="BR33" s="25">
        <f t="shared" si="29"/>
        <v>43553.86</v>
      </c>
      <c r="BS33" s="25">
        <f t="shared" si="29"/>
        <v>43822.93</v>
      </c>
      <c r="BT33" s="25">
        <f t="shared" si="29"/>
        <v>43910.270000000004</v>
      </c>
      <c r="BU33" s="25">
        <f t="shared" si="29"/>
        <v>43487.759999999995</v>
      </c>
      <c r="BV33" s="25">
        <f t="shared" si="29"/>
        <v>42924.160000000003</v>
      </c>
      <c r="BW33" s="25">
        <f t="shared" si="29"/>
        <v>42341.83</v>
      </c>
      <c r="BX33" s="25">
        <f t="shared" si="29"/>
        <v>41791.460000000006</v>
      </c>
      <c r="BY33" s="25">
        <f t="shared" si="29"/>
        <v>41078.69</v>
      </c>
      <c r="BZ33" s="25">
        <f t="shared" si="29"/>
        <v>40768.009999999995</v>
      </c>
      <c r="CA33" s="25">
        <f t="shared" si="29"/>
        <v>41300.949999999997</v>
      </c>
      <c r="CB33" s="25">
        <f t="shared" si="29"/>
        <v>42370.74</v>
      </c>
      <c r="CC33" s="25">
        <f t="shared" si="29"/>
        <v>43230.78</v>
      </c>
      <c r="CD33" s="25">
        <f t="shared" si="29"/>
        <v>44068.770000000004</v>
      </c>
      <c r="CE33" s="25">
        <f t="shared" si="29"/>
        <v>45028.75</v>
      </c>
      <c r="CF33" s="25">
        <f t="shared" si="29"/>
        <v>45208.91</v>
      </c>
      <c r="CG33" s="25">
        <f t="shared" si="29"/>
        <v>45159.18</v>
      </c>
      <c r="CH33" s="25">
        <f t="shared" si="29"/>
        <v>45251.56</v>
      </c>
      <c r="CI33" s="25">
        <f t="shared" si="29"/>
        <v>45538.600000000006</v>
      </c>
      <c r="CJ33" s="25">
        <f t="shared" si="29"/>
        <v>45774.05</v>
      </c>
      <c r="CK33" s="25">
        <f t="shared" si="29"/>
        <v>46298.63</v>
      </c>
      <c r="CL33" s="25">
        <f t="shared" si="29"/>
        <v>46817.32</v>
      </c>
      <c r="CM33" s="25">
        <f t="shared" si="29"/>
        <v>47757.81</v>
      </c>
      <c r="CN33" s="25">
        <f t="shared" si="29"/>
        <v>48484.09</v>
      </c>
      <c r="CO33" s="25">
        <f t="shared" si="29"/>
        <v>48856.21</v>
      </c>
      <c r="CP33" s="25">
        <f t="shared" si="29"/>
        <v>49221.55</v>
      </c>
      <c r="CQ33" s="25">
        <f t="shared" si="29"/>
        <v>49045.53</v>
      </c>
      <c r="CR33" s="25">
        <f t="shared" si="29"/>
        <v>48568.57</v>
      </c>
    </row>
    <row r="34" spans="1:99" x14ac:dyDescent="0.25">
      <c r="BB34" s="54" t="s">
        <v>107</v>
      </c>
      <c r="BC34" s="13" t="s">
        <v>97</v>
      </c>
      <c r="BD34" s="25">
        <f t="shared" si="29"/>
        <v>32827.75</v>
      </c>
      <c r="BE34" s="25">
        <f t="shared" si="29"/>
        <v>32234.73</v>
      </c>
      <c r="BF34" s="25">
        <f t="shared" si="29"/>
        <v>31931.25</v>
      </c>
      <c r="BG34" s="25">
        <f t="shared" si="29"/>
        <v>31843.829999999998</v>
      </c>
      <c r="BH34" s="25">
        <f t="shared" si="29"/>
        <v>31998.379999999997</v>
      </c>
      <c r="BI34" s="25">
        <f t="shared" si="29"/>
        <v>32449.170000000002</v>
      </c>
      <c r="BJ34" s="25">
        <f t="shared" si="29"/>
        <v>33025.06</v>
      </c>
      <c r="BK34" s="25">
        <f t="shared" si="29"/>
        <v>33765.129999999997</v>
      </c>
      <c r="BL34" s="25">
        <f t="shared" si="29"/>
        <v>34656.659999999996</v>
      </c>
      <c r="BM34" s="25">
        <f t="shared" ref="BM34:CR34" si="30">BM72+BM88</f>
        <v>35524.68</v>
      </c>
      <c r="BN34" s="25">
        <f t="shared" si="30"/>
        <v>36736.68</v>
      </c>
      <c r="BO34" s="25">
        <f t="shared" si="30"/>
        <v>38068.36</v>
      </c>
      <c r="BP34" s="25">
        <f t="shared" si="30"/>
        <v>39114.25</v>
      </c>
      <c r="BQ34" s="25">
        <f t="shared" si="30"/>
        <v>40169.509999999995</v>
      </c>
      <c r="BR34" s="25">
        <f t="shared" si="30"/>
        <v>41176.229999999996</v>
      </c>
      <c r="BS34" s="25">
        <f t="shared" si="30"/>
        <v>41985.229999999996</v>
      </c>
      <c r="BT34" s="25">
        <f t="shared" si="30"/>
        <v>42230.69</v>
      </c>
      <c r="BU34" s="25">
        <f t="shared" si="30"/>
        <v>42605.68</v>
      </c>
      <c r="BV34" s="25">
        <f t="shared" si="30"/>
        <v>42881.2</v>
      </c>
      <c r="BW34" s="25">
        <f t="shared" si="30"/>
        <v>43116.28</v>
      </c>
      <c r="BX34" s="25">
        <f t="shared" si="30"/>
        <v>43295.21</v>
      </c>
      <c r="BY34" s="25">
        <f t="shared" si="30"/>
        <v>43232.36</v>
      </c>
      <c r="BZ34" s="25">
        <f t="shared" si="30"/>
        <v>42686.26</v>
      </c>
      <c r="CA34" s="25">
        <f t="shared" si="30"/>
        <v>41990.369999999995</v>
      </c>
      <c r="CB34" s="25">
        <f t="shared" si="30"/>
        <v>41277.96</v>
      </c>
      <c r="CC34" s="25">
        <f t="shared" si="30"/>
        <v>40598.009999999995</v>
      </c>
      <c r="CD34" s="25">
        <f t="shared" si="30"/>
        <v>39880.050000000003</v>
      </c>
      <c r="CE34" s="25">
        <f t="shared" si="30"/>
        <v>39565.96</v>
      </c>
      <c r="CF34" s="25">
        <f t="shared" si="30"/>
        <v>40073.490000000005</v>
      </c>
      <c r="CG34" s="25">
        <f t="shared" si="30"/>
        <v>41114</v>
      </c>
      <c r="CH34" s="25">
        <f t="shared" si="30"/>
        <v>41963.41</v>
      </c>
      <c r="CI34" s="25">
        <f t="shared" si="30"/>
        <v>42799.38</v>
      </c>
      <c r="CJ34" s="25">
        <f t="shared" si="30"/>
        <v>43740.95</v>
      </c>
      <c r="CK34" s="25">
        <f t="shared" si="30"/>
        <v>43938.710000000006</v>
      </c>
      <c r="CL34" s="25">
        <f t="shared" si="30"/>
        <v>43913.369999999995</v>
      </c>
      <c r="CM34" s="25">
        <f t="shared" si="30"/>
        <v>44020.25</v>
      </c>
      <c r="CN34" s="25">
        <f t="shared" si="30"/>
        <v>44301.36</v>
      </c>
      <c r="CO34" s="25">
        <f t="shared" si="30"/>
        <v>44545.119999999995</v>
      </c>
      <c r="CP34" s="25">
        <f t="shared" si="30"/>
        <v>45054.68</v>
      </c>
      <c r="CQ34" s="25">
        <f t="shared" si="30"/>
        <v>45551.61</v>
      </c>
      <c r="CR34" s="25">
        <f t="shared" si="30"/>
        <v>46444.03</v>
      </c>
    </row>
    <row r="35" spans="1:99" x14ac:dyDescent="0.25">
      <c r="A35" s="79" t="s">
        <v>130</v>
      </c>
      <c r="O35" s="80" t="s">
        <v>152</v>
      </c>
      <c r="BB35" s="54" t="s">
        <v>108</v>
      </c>
      <c r="BC35" s="13" t="s">
        <v>97</v>
      </c>
      <c r="BD35" s="25">
        <f t="shared" ref="BD35:CR41" si="31">BD73+BD89</f>
        <v>28247.279999999999</v>
      </c>
      <c r="BE35" s="25">
        <f t="shared" si="31"/>
        <v>29671.480000000003</v>
      </c>
      <c r="BF35" s="25">
        <f t="shared" si="31"/>
        <v>30220.34</v>
      </c>
      <c r="BG35" s="25">
        <f t="shared" si="31"/>
        <v>30237.43</v>
      </c>
      <c r="BH35" s="25">
        <f t="shared" si="31"/>
        <v>30643.17</v>
      </c>
      <c r="BI35" s="25">
        <f t="shared" si="31"/>
        <v>30847.54</v>
      </c>
      <c r="BJ35" s="25">
        <f t="shared" si="31"/>
        <v>30174.379999999997</v>
      </c>
      <c r="BK35" s="25">
        <f t="shared" si="31"/>
        <v>30132.68</v>
      </c>
      <c r="BL35" s="25">
        <f t="shared" si="31"/>
        <v>30588.53</v>
      </c>
      <c r="BM35" s="25">
        <f t="shared" si="31"/>
        <v>30858.11</v>
      </c>
      <c r="BN35" s="25">
        <f t="shared" si="31"/>
        <v>31473.879999999997</v>
      </c>
      <c r="BO35" s="25">
        <f t="shared" si="31"/>
        <v>31930.989999999998</v>
      </c>
      <c r="BP35" s="25">
        <f t="shared" si="31"/>
        <v>32359.41</v>
      </c>
      <c r="BQ35" s="25">
        <f t="shared" si="31"/>
        <v>32938.449999999997</v>
      </c>
      <c r="BR35" s="25">
        <f t="shared" si="31"/>
        <v>33675.1</v>
      </c>
      <c r="BS35" s="25">
        <f t="shared" si="31"/>
        <v>34645.440000000002</v>
      </c>
      <c r="BT35" s="25">
        <f t="shared" si="31"/>
        <v>35871.520000000004</v>
      </c>
      <c r="BU35" s="25">
        <f t="shared" si="31"/>
        <v>36899.089999999997</v>
      </c>
      <c r="BV35" s="25">
        <f t="shared" si="31"/>
        <v>37838.79</v>
      </c>
      <c r="BW35" s="25">
        <f t="shared" si="31"/>
        <v>38671.949999999997</v>
      </c>
      <c r="BX35" s="25">
        <f t="shared" si="31"/>
        <v>39393.56</v>
      </c>
      <c r="BY35" s="25">
        <f t="shared" si="31"/>
        <v>39514.199999999997</v>
      </c>
      <c r="BZ35" s="25">
        <f t="shared" si="31"/>
        <v>39744.380000000005</v>
      </c>
      <c r="CA35" s="25">
        <f t="shared" si="31"/>
        <v>39883.81</v>
      </c>
      <c r="CB35" s="25">
        <f t="shared" si="31"/>
        <v>39974.979999999996</v>
      </c>
      <c r="CC35" s="25">
        <f t="shared" si="31"/>
        <v>40031.4</v>
      </c>
      <c r="CD35" s="25">
        <f t="shared" si="31"/>
        <v>39974.67</v>
      </c>
      <c r="CE35" s="25">
        <f t="shared" si="31"/>
        <v>39478.43</v>
      </c>
      <c r="CF35" s="25">
        <f t="shared" si="31"/>
        <v>38834.089999999997</v>
      </c>
      <c r="CG35" s="25">
        <f t="shared" si="31"/>
        <v>38169.32</v>
      </c>
      <c r="CH35" s="25">
        <f t="shared" si="31"/>
        <v>37525.71</v>
      </c>
      <c r="CI35" s="25">
        <f t="shared" si="31"/>
        <v>36849.42</v>
      </c>
      <c r="CJ35" s="25">
        <f t="shared" si="31"/>
        <v>36549.19</v>
      </c>
      <c r="CK35" s="25">
        <f t="shared" si="31"/>
        <v>37011.230000000003</v>
      </c>
      <c r="CL35" s="25">
        <f t="shared" si="31"/>
        <v>37971.199999999997</v>
      </c>
      <c r="CM35" s="25">
        <f t="shared" si="31"/>
        <v>38769.01</v>
      </c>
      <c r="CN35" s="25">
        <f t="shared" si="31"/>
        <v>39560.15</v>
      </c>
      <c r="CO35" s="25">
        <f t="shared" si="31"/>
        <v>40442.42</v>
      </c>
      <c r="CP35" s="25">
        <f t="shared" si="31"/>
        <v>40643</v>
      </c>
      <c r="CQ35" s="25">
        <f t="shared" si="31"/>
        <v>40653.300000000003</v>
      </c>
      <c r="CR35" s="25">
        <f t="shared" si="31"/>
        <v>40773.32</v>
      </c>
    </row>
    <row r="36" spans="1:99" x14ac:dyDescent="0.25">
      <c r="BB36" s="54" t="s">
        <v>109</v>
      </c>
      <c r="BC36" s="13" t="s">
        <v>97</v>
      </c>
      <c r="BD36" s="25">
        <f t="shared" si="31"/>
        <v>26112.61</v>
      </c>
      <c r="BE36" s="25">
        <f t="shared" si="31"/>
        <v>25444.78</v>
      </c>
      <c r="BF36" s="25">
        <f t="shared" si="31"/>
        <v>25313.72</v>
      </c>
      <c r="BG36" s="25">
        <f t="shared" si="31"/>
        <v>25182.16</v>
      </c>
      <c r="BH36" s="25">
        <f t="shared" si="31"/>
        <v>25305.809999999998</v>
      </c>
      <c r="BI36" s="25">
        <f t="shared" si="31"/>
        <v>25652.78</v>
      </c>
      <c r="BJ36" s="25">
        <f t="shared" si="31"/>
        <v>26938.34</v>
      </c>
      <c r="BK36" s="25">
        <f t="shared" si="31"/>
        <v>27543.579999999998</v>
      </c>
      <c r="BL36" s="25">
        <f t="shared" si="31"/>
        <v>27692.86</v>
      </c>
      <c r="BM36" s="25">
        <f t="shared" si="31"/>
        <v>28191.08</v>
      </c>
      <c r="BN36" s="25">
        <f t="shared" si="31"/>
        <v>28465.52</v>
      </c>
      <c r="BO36" s="25">
        <f t="shared" si="31"/>
        <v>27859.07</v>
      </c>
      <c r="BP36" s="25">
        <f t="shared" si="31"/>
        <v>27913.18</v>
      </c>
      <c r="BQ36" s="25">
        <f t="shared" si="31"/>
        <v>28239.059999999998</v>
      </c>
      <c r="BR36" s="25">
        <f t="shared" si="31"/>
        <v>28305.01</v>
      </c>
      <c r="BS36" s="25">
        <f t="shared" si="31"/>
        <v>28608.92</v>
      </c>
      <c r="BT36" s="25">
        <f t="shared" si="31"/>
        <v>28978.160000000003</v>
      </c>
      <c r="BU36" s="25">
        <f t="shared" si="31"/>
        <v>29343</v>
      </c>
      <c r="BV36" s="25">
        <f t="shared" si="31"/>
        <v>29767.13</v>
      </c>
      <c r="BW36" s="25">
        <f t="shared" si="31"/>
        <v>30410.760000000002</v>
      </c>
      <c r="BX36" s="25">
        <f t="shared" si="31"/>
        <v>31194.400000000001</v>
      </c>
      <c r="BY36" s="25">
        <f t="shared" si="31"/>
        <v>32267.41</v>
      </c>
      <c r="BZ36" s="25">
        <f t="shared" si="31"/>
        <v>33156.78</v>
      </c>
      <c r="CA36" s="25">
        <f t="shared" si="31"/>
        <v>33969.199999999997</v>
      </c>
      <c r="CB36" s="25">
        <f t="shared" si="31"/>
        <v>34689.79</v>
      </c>
      <c r="CC36" s="25">
        <f t="shared" si="31"/>
        <v>35295.350000000006</v>
      </c>
      <c r="CD36" s="25">
        <f t="shared" si="31"/>
        <v>35424.19</v>
      </c>
      <c r="CE36" s="25">
        <f t="shared" si="31"/>
        <v>35645.64</v>
      </c>
      <c r="CF36" s="25">
        <f t="shared" si="31"/>
        <v>35787.440000000002</v>
      </c>
      <c r="CG36" s="25">
        <f t="shared" si="31"/>
        <v>35872.9</v>
      </c>
      <c r="CH36" s="25">
        <f t="shared" si="31"/>
        <v>35934.81</v>
      </c>
      <c r="CI36" s="25">
        <f t="shared" si="31"/>
        <v>35892.07</v>
      </c>
      <c r="CJ36" s="25">
        <f t="shared" si="31"/>
        <v>35457.440000000002</v>
      </c>
      <c r="CK36" s="25">
        <f t="shared" si="31"/>
        <v>34882.660000000003</v>
      </c>
      <c r="CL36" s="25">
        <f t="shared" si="31"/>
        <v>34287.479999999996</v>
      </c>
      <c r="CM36" s="25">
        <f t="shared" si="31"/>
        <v>33703.370000000003</v>
      </c>
      <c r="CN36" s="25">
        <f t="shared" si="31"/>
        <v>33092.43</v>
      </c>
      <c r="CO36" s="25">
        <f t="shared" si="31"/>
        <v>32820.94</v>
      </c>
      <c r="CP36" s="25">
        <f t="shared" si="31"/>
        <v>33238.51</v>
      </c>
      <c r="CQ36" s="25">
        <f t="shared" si="31"/>
        <v>34106.81</v>
      </c>
      <c r="CR36" s="25">
        <f t="shared" si="31"/>
        <v>34838.71</v>
      </c>
    </row>
    <row r="37" spans="1:99" x14ac:dyDescent="0.25">
      <c r="BB37" s="54" t="s">
        <v>110</v>
      </c>
      <c r="BC37" s="13" t="s">
        <v>97</v>
      </c>
      <c r="BD37" s="25">
        <f t="shared" si="31"/>
        <v>25687.760000000002</v>
      </c>
      <c r="BE37" s="25">
        <f t="shared" si="31"/>
        <v>25474.45</v>
      </c>
      <c r="BF37" s="25">
        <f t="shared" si="31"/>
        <v>25183.52</v>
      </c>
      <c r="BG37" s="25">
        <f t="shared" si="31"/>
        <v>24983.809999999998</v>
      </c>
      <c r="BH37" s="25">
        <f t="shared" si="31"/>
        <v>24581.66</v>
      </c>
      <c r="BI37" s="25">
        <f t="shared" si="31"/>
        <v>23517.5</v>
      </c>
      <c r="BJ37" s="25">
        <f t="shared" si="31"/>
        <v>22933.29</v>
      </c>
      <c r="BK37" s="25">
        <f t="shared" si="31"/>
        <v>22787.656999999999</v>
      </c>
      <c r="BL37" s="25">
        <f t="shared" si="31"/>
        <v>22884.07</v>
      </c>
      <c r="BM37" s="25">
        <f t="shared" si="31"/>
        <v>23057.893</v>
      </c>
      <c r="BN37" s="25">
        <f t="shared" si="31"/>
        <v>23519.275000000001</v>
      </c>
      <c r="BO37" s="25">
        <f t="shared" si="31"/>
        <v>24514.79</v>
      </c>
      <c r="BP37" s="25">
        <f t="shared" si="31"/>
        <v>24843.879999999997</v>
      </c>
      <c r="BQ37" s="25">
        <f t="shared" si="31"/>
        <v>24652.75</v>
      </c>
      <c r="BR37" s="25">
        <f t="shared" si="31"/>
        <v>24864.11</v>
      </c>
      <c r="BS37" s="25">
        <f t="shared" si="31"/>
        <v>24861.059999999998</v>
      </c>
      <c r="BT37" s="25">
        <f t="shared" si="31"/>
        <v>24185.430999999997</v>
      </c>
      <c r="BU37" s="25">
        <f t="shared" si="31"/>
        <v>24080.351999999999</v>
      </c>
      <c r="BV37" s="25">
        <f t="shared" si="31"/>
        <v>24214.544000000002</v>
      </c>
      <c r="BW37" s="25">
        <f t="shared" si="31"/>
        <v>24145.558000000001</v>
      </c>
      <c r="BX37" s="25">
        <f t="shared" si="31"/>
        <v>24243.633000000002</v>
      </c>
      <c r="BY37" s="25">
        <f t="shared" si="31"/>
        <v>24609.607</v>
      </c>
      <c r="BZ37" s="25">
        <f t="shared" si="31"/>
        <v>24977.612000000001</v>
      </c>
      <c r="CA37" s="25">
        <f t="shared" si="31"/>
        <v>25396.942000000003</v>
      </c>
      <c r="CB37" s="25">
        <f t="shared" si="31"/>
        <v>26000.9</v>
      </c>
      <c r="CC37" s="25">
        <f t="shared" si="31"/>
        <v>26728.400000000001</v>
      </c>
      <c r="CD37" s="25">
        <f t="shared" si="31"/>
        <v>27670.489999999998</v>
      </c>
      <c r="CE37" s="25">
        <f t="shared" si="31"/>
        <v>28456.47</v>
      </c>
      <c r="CF37" s="25">
        <f t="shared" si="31"/>
        <v>29178.82</v>
      </c>
      <c r="CG37" s="25">
        <f t="shared" si="31"/>
        <v>29822.959999999999</v>
      </c>
      <c r="CH37" s="25">
        <f t="shared" si="31"/>
        <v>30360.39</v>
      </c>
      <c r="CI37" s="25">
        <f t="shared" si="31"/>
        <v>30498.22</v>
      </c>
      <c r="CJ37" s="25">
        <f t="shared" si="31"/>
        <v>30710.61</v>
      </c>
      <c r="CK37" s="25">
        <f t="shared" si="31"/>
        <v>30853.119999999999</v>
      </c>
      <c r="CL37" s="25">
        <f t="shared" si="31"/>
        <v>30938.190000000002</v>
      </c>
      <c r="CM37" s="25">
        <f t="shared" si="31"/>
        <v>31006.959999999999</v>
      </c>
      <c r="CN37" s="25">
        <f t="shared" si="31"/>
        <v>30985.84</v>
      </c>
      <c r="CO37" s="25">
        <f t="shared" si="31"/>
        <v>30627.13</v>
      </c>
      <c r="CP37" s="25">
        <f t="shared" si="31"/>
        <v>30144.379999999997</v>
      </c>
      <c r="CQ37" s="25">
        <f t="shared" si="31"/>
        <v>29643.93</v>
      </c>
      <c r="CR37" s="25">
        <f t="shared" si="31"/>
        <v>29146.240000000002</v>
      </c>
    </row>
    <row r="38" spans="1:99" x14ac:dyDescent="0.25">
      <c r="BB38" s="54" t="s">
        <v>111</v>
      </c>
      <c r="BC38" s="13" t="s">
        <v>97</v>
      </c>
      <c r="BD38" s="25">
        <f t="shared" si="31"/>
        <v>23427.88</v>
      </c>
      <c r="BE38" s="25">
        <f t="shared" si="31"/>
        <v>23114.260000000002</v>
      </c>
      <c r="BF38" s="25">
        <f t="shared" si="31"/>
        <v>22709.199999999997</v>
      </c>
      <c r="BG38" s="25">
        <f t="shared" si="31"/>
        <v>22169.91</v>
      </c>
      <c r="BH38" s="25">
        <f t="shared" si="31"/>
        <v>21786.61</v>
      </c>
      <c r="BI38" s="25">
        <f t="shared" si="31"/>
        <v>21607.35</v>
      </c>
      <c r="BJ38" s="25">
        <f t="shared" si="31"/>
        <v>21413.27</v>
      </c>
      <c r="BK38" s="25">
        <f t="shared" si="31"/>
        <v>21380.9</v>
      </c>
      <c r="BL38" s="25">
        <f t="shared" si="31"/>
        <v>21543.660000000003</v>
      </c>
      <c r="BM38" s="25">
        <f t="shared" si="31"/>
        <v>21324.33</v>
      </c>
      <c r="BN38" s="25">
        <f t="shared" si="31"/>
        <v>20713.694</v>
      </c>
      <c r="BO38" s="25">
        <f t="shared" si="31"/>
        <v>20523.477999999999</v>
      </c>
      <c r="BP38" s="25">
        <f t="shared" si="31"/>
        <v>20550.402999999998</v>
      </c>
      <c r="BQ38" s="25">
        <f t="shared" si="31"/>
        <v>20822.721000000001</v>
      </c>
      <c r="BR38" s="25">
        <f t="shared" si="31"/>
        <v>21008.330999999998</v>
      </c>
      <c r="BS38" s="25">
        <f t="shared" si="31"/>
        <v>21453.178</v>
      </c>
      <c r="BT38" s="25">
        <f t="shared" si="31"/>
        <v>22553.233</v>
      </c>
      <c r="BU38" s="25">
        <f t="shared" si="31"/>
        <v>22985.873</v>
      </c>
      <c r="BV38" s="25">
        <f t="shared" si="31"/>
        <v>22971.862999999998</v>
      </c>
      <c r="BW38" s="25">
        <f t="shared" si="31"/>
        <v>23344.556</v>
      </c>
      <c r="BX38" s="25">
        <f t="shared" si="31"/>
        <v>23534.019</v>
      </c>
      <c r="BY38" s="25">
        <f t="shared" si="31"/>
        <v>23114.501</v>
      </c>
      <c r="BZ38" s="25">
        <f t="shared" si="31"/>
        <v>23227.175999999999</v>
      </c>
      <c r="CA38" s="25">
        <f t="shared" si="31"/>
        <v>23565.465</v>
      </c>
      <c r="CB38" s="25">
        <f t="shared" si="31"/>
        <v>23718.631000000001</v>
      </c>
      <c r="CC38" s="25">
        <f t="shared" si="31"/>
        <v>24036.686000000002</v>
      </c>
      <c r="CD38" s="25">
        <f t="shared" si="31"/>
        <v>24431.243000000002</v>
      </c>
      <c r="CE38" s="25">
        <f t="shared" si="31"/>
        <v>24830.150999999998</v>
      </c>
      <c r="CF38" s="25">
        <f t="shared" si="31"/>
        <v>25286.1</v>
      </c>
      <c r="CG38" s="25">
        <f t="shared" si="31"/>
        <v>25922.880000000001</v>
      </c>
      <c r="CH38" s="25">
        <f t="shared" si="31"/>
        <v>26685.21</v>
      </c>
      <c r="CI38" s="25">
        <f t="shared" si="31"/>
        <v>27660.12</v>
      </c>
      <c r="CJ38" s="25">
        <f t="shared" si="31"/>
        <v>28479.77</v>
      </c>
      <c r="CK38" s="25">
        <f t="shared" si="31"/>
        <v>29240.410000000003</v>
      </c>
      <c r="CL38" s="25">
        <f t="shared" si="31"/>
        <v>29920.65</v>
      </c>
      <c r="CM38" s="25">
        <f t="shared" si="31"/>
        <v>30489.510000000002</v>
      </c>
      <c r="CN38" s="25">
        <f t="shared" si="31"/>
        <v>30661</v>
      </c>
      <c r="CO38" s="25">
        <f t="shared" si="31"/>
        <v>30905.58</v>
      </c>
      <c r="CP38" s="25">
        <f t="shared" si="31"/>
        <v>31074.85</v>
      </c>
      <c r="CQ38" s="25">
        <f t="shared" si="31"/>
        <v>31183.75</v>
      </c>
      <c r="CR38" s="25">
        <f t="shared" si="31"/>
        <v>31281.759999999998</v>
      </c>
    </row>
    <row r="39" spans="1:99" x14ac:dyDescent="0.25">
      <c r="BB39" s="54" t="s">
        <v>112</v>
      </c>
      <c r="BC39" s="13" t="s">
        <v>97</v>
      </c>
      <c r="BD39" s="25">
        <f t="shared" si="31"/>
        <v>20919.989000000001</v>
      </c>
      <c r="BE39" s="25">
        <f t="shared" si="31"/>
        <v>20455.849999999999</v>
      </c>
      <c r="BF39" s="25">
        <f t="shared" si="31"/>
        <v>20043.106</v>
      </c>
      <c r="BG39" s="25">
        <f t="shared" si="31"/>
        <v>19830.972000000002</v>
      </c>
      <c r="BH39" s="25">
        <f t="shared" si="31"/>
        <v>19628.965</v>
      </c>
      <c r="BI39" s="25">
        <f t="shared" si="31"/>
        <v>19564.169999999998</v>
      </c>
      <c r="BJ39" s="25">
        <f t="shared" si="31"/>
        <v>19552.428</v>
      </c>
      <c r="BK39" s="25">
        <f t="shared" si="31"/>
        <v>19533.828000000001</v>
      </c>
      <c r="BL39" s="25">
        <f t="shared" si="31"/>
        <v>19325.006999999998</v>
      </c>
      <c r="BM39" s="25">
        <f t="shared" si="31"/>
        <v>19175.212</v>
      </c>
      <c r="BN39" s="25">
        <f t="shared" si="31"/>
        <v>19393.264999999999</v>
      </c>
      <c r="BO39" s="25">
        <f t="shared" si="31"/>
        <v>19308.178</v>
      </c>
      <c r="BP39" s="25">
        <f t="shared" si="31"/>
        <v>19376.885999999999</v>
      </c>
      <c r="BQ39" s="25">
        <f t="shared" si="31"/>
        <v>19553.775999999998</v>
      </c>
      <c r="BR39" s="25">
        <f t="shared" si="31"/>
        <v>19346.711000000003</v>
      </c>
      <c r="BS39" s="25">
        <f t="shared" si="31"/>
        <v>18688.97</v>
      </c>
      <c r="BT39" s="25">
        <f t="shared" si="31"/>
        <v>18555.179</v>
      </c>
      <c r="BU39" s="25">
        <f t="shared" si="31"/>
        <v>18713.296000000002</v>
      </c>
      <c r="BV39" s="25">
        <f t="shared" si="31"/>
        <v>19023.625999999997</v>
      </c>
      <c r="BW39" s="25">
        <f t="shared" si="31"/>
        <v>19282.805</v>
      </c>
      <c r="BX39" s="25">
        <f t="shared" si="31"/>
        <v>19772.381999999998</v>
      </c>
      <c r="BY39" s="25">
        <f t="shared" si="31"/>
        <v>20921.612999999998</v>
      </c>
      <c r="BZ39" s="25">
        <f t="shared" si="31"/>
        <v>21439.472000000002</v>
      </c>
      <c r="CA39" s="25">
        <f t="shared" si="31"/>
        <v>21541.707000000002</v>
      </c>
      <c r="CB39" s="25">
        <f t="shared" si="31"/>
        <v>21983.409</v>
      </c>
      <c r="CC39" s="25">
        <f t="shared" si="31"/>
        <v>22254.14</v>
      </c>
      <c r="CD39" s="25">
        <f t="shared" si="31"/>
        <v>21897.368999999999</v>
      </c>
      <c r="CE39" s="25">
        <f t="shared" si="31"/>
        <v>22026.046999999999</v>
      </c>
      <c r="CF39" s="25">
        <f t="shared" si="31"/>
        <v>22357.491999999998</v>
      </c>
      <c r="CG39" s="25">
        <f t="shared" si="31"/>
        <v>22527.647000000001</v>
      </c>
      <c r="CH39" s="25">
        <f t="shared" si="31"/>
        <v>22853.094000000001</v>
      </c>
      <c r="CI39" s="25">
        <f t="shared" si="31"/>
        <v>23272.35</v>
      </c>
      <c r="CJ39" s="25">
        <f t="shared" si="31"/>
        <v>23693.62</v>
      </c>
      <c r="CK39" s="25">
        <f t="shared" si="31"/>
        <v>24176.78</v>
      </c>
      <c r="CL39" s="25">
        <f t="shared" si="31"/>
        <v>24828.79</v>
      </c>
      <c r="CM39" s="25">
        <f t="shared" si="31"/>
        <v>25594.43</v>
      </c>
      <c r="CN39" s="25">
        <f t="shared" si="31"/>
        <v>26558.9</v>
      </c>
      <c r="CO39" s="25">
        <f t="shared" si="31"/>
        <v>27378.98</v>
      </c>
      <c r="CP39" s="25">
        <f t="shared" si="31"/>
        <v>28143.02</v>
      </c>
      <c r="CQ39" s="25">
        <f t="shared" si="31"/>
        <v>28830.47</v>
      </c>
      <c r="CR39" s="25">
        <f t="shared" si="31"/>
        <v>29404.940000000002</v>
      </c>
    </row>
    <row r="40" spans="1:99" x14ac:dyDescent="0.25">
      <c r="BB40" s="54" t="s">
        <v>113</v>
      </c>
      <c r="BC40" s="13" t="s">
        <v>97</v>
      </c>
      <c r="BD40" s="25">
        <f t="shared" si="31"/>
        <v>14798.388999999999</v>
      </c>
      <c r="BE40" s="25">
        <f t="shared" si="31"/>
        <v>15326.823</v>
      </c>
      <c r="BF40" s="25">
        <f t="shared" si="31"/>
        <v>15805.709000000001</v>
      </c>
      <c r="BG40" s="25">
        <f t="shared" si="31"/>
        <v>15819.269</v>
      </c>
      <c r="BH40" s="25">
        <f t="shared" si="31"/>
        <v>15416.002</v>
      </c>
      <c r="BI40" s="25">
        <f t="shared" si="31"/>
        <v>15098.663</v>
      </c>
      <c r="BJ40" s="25">
        <f t="shared" si="31"/>
        <v>15009.04</v>
      </c>
      <c r="BK40" s="25">
        <f t="shared" si="31"/>
        <v>14854.843999999999</v>
      </c>
      <c r="BL40" s="25">
        <f t="shared" si="31"/>
        <v>14959.350999999999</v>
      </c>
      <c r="BM40" s="25">
        <f t="shared" si="31"/>
        <v>15222.1</v>
      </c>
      <c r="BN40" s="25">
        <f t="shared" si="31"/>
        <v>15693.126</v>
      </c>
      <c r="BO40" s="25">
        <f t="shared" si="31"/>
        <v>15925.704</v>
      </c>
      <c r="BP40" s="25">
        <f t="shared" si="31"/>
        <v>16062.077000000001</v>
      </c>
      <c r="BQ40" s="25">
        <f t="shared" si="31"/>
        <v>16135.666999999999</v>
      </c>
      <c r="BR40" s="25">
        <f t="shared" si="31"/>
        <v>16097.212</v>
      </c>
      <c r="BS40" s="25">
        <f t="shared" si="31"/>
        <v>16201.678</v>
      </c>
      <c r="BT40" s="25">
        <f t="shared" si="31"/>
        <v>16259.866999999998</v>
      </c>
      <c r="BU40" s="25">
        <f t="shared" si="31"/>
        <v>16421.641</v>
      </c>
      <c r="BV40" s="25">
        <f t="shared" si="31"/>
        <v>16691.866999999998</v>
      </c>
      <c r="BW40" s="25">
        <f t="shared" si="31"/>
        <v>16645.521000000001</v>
      </c>
      <c r="BX40" s="25">
        <f t="shared" si="31"/>
        <v>16230.254999999999</v>
      </c>
      <c r="BY40" s="25">
        <f t="shared" si="31"/>
        <v>16222.259</v>
      </c>
      <c r="BZ40" s="25">
        <f t="shared" si="31"/>
        <v>16485.307999999997</v>
      </c>
      <c r="CA40" s="25">
        <f t="shared" si="31"/>
        <v>16904.525999999998</v>
      </c>
      <c r="CB40" s="25">
        <f t="shared" si="31"/>
        <v>17245.072</v>
      </c>
      <c r="CC40" s="25">
        <f t="shared" si="31"/>
        <v>17751.071</v>
      </c>
      <c r="CD40" s="25">
        <f t="shared" si="31"/>
        <v>18867.638999999999</v>
      </c>
      <c r="CE40" s="25">
        <f t="shared" si="31"/>
        <v>19410.392</v>
      </c>
      <c r="CF40" s="25">
        <f t="shared" si="31"/>
        <v>19572.815000000002</v>
      </c>
      <c r="CG40" s="25">
        <f t="shared" si="31"/>
        <v>20012.513999999999</v>
      </c>
      <c r="CH40" s="25">
        <f t="shared" si="31"/>
        <v>20279.5</v>
      </c>
      <c r="CI40" s="25">
        <f t="shared" si="31"/>
        <v>20000.692999999999</v>
      </c>
      <c r="CJ40" s="25">
        <f t="shared" si="31"/>
        <v>20152.795999999998</v>
      </c>
      <c r="CK40" s="25">
        <f t="shared" si="31"/>
        <v>20476.432000000001</v>
      </c>
      <c r="CL40" s="25">
        <f t="shared" si="31"/>
        <v>20666.137000000002</v>
      </c>
      <c r="CM40" s="25">
        <f t="shared" si="31"/>
        <v>20997.75</v>
      </c>
      <c r="CN40" s="25">
        <f t="shared" si="31"/>
        <v>21445.69</v>
      </c>
      <c r="CO40" s="25">
        <f t="shared" si="31"/>
        <v>21892.66</v>
      </c>
      <c r="CP40" s="25">
        <f t="shared" si="31"/>
        <v>22407.25</v>
      </c>
      <c r="CQ40" s="25">
        <f t="shared" si="31"/>
        <v>23073.510000000002</v>
      </c>
      <c r="CR40" s="25">
        <f t="shared" si="31"/>
        <v>23836.98</v>
      </c>
    </row>
    <row r="41" spans="1:99" x14ac:dyDescent="0.25">
      <c r="BB41" s="54" t="s">
        <v>114</v>
      </c>
      <c r="BC41" s="13" t="s">
        <v>97</v>
      </c>
      <c r="BD41" s="25">
        <f t="shared" si="31"/>
        <v>8723.7119999999995</v>
      </c>
      <c r="BE41" s="25">
        <f t="shared" si="31"/>
        <v>8439.5649999999987</v>
      </c>
      <c r="BF41" s="25">
        <f t="shared" si="31"/>
        <v>7998.3860000000004</v>
      </c>
      <c r="BG41" s="25">
        <f t="shared" si="31"/>
        <v>7878.5630000000001</v>
      </c>
      <c r="BH41" s="25">
        <f t="shared" si="31"/>
        <v>8304.23</v>
      </c>
      <c r="BI41" s="25">
        <f t="shared" si="31"/>
        <v>8763.6149999999998</v>
      </c>
      <c r="BJ41" s="25">
        <f t="shared" si="31"/>
        <v>9212.2659999999996</v>
      </c>
      <c r="BK41" s="25">
        <f t="shared" si="31"/>
        <v>9579.5370000000003</v>
      </c>
      <c r="BL41" s="25">
        <f t="shared" si="31"/>
        <v>9527.101999999999</v>
      </c>
      <c r="BM41" s="25">
        <f t="shared" ref="BM41:CR41" si="32">BM79+BM95</f>
        <v>9432.0360000000001</v>
      </c>
      <c r="BN41" s="25">
        <f t="shared" si="32"/>
        <v>9660.8829999999998</v>
      </c>
      <c r="BO41" s="25">
        <f t="shared" si="32"/>
        <v>9719.2780000000002</v>
      </c>
      <c r="BP41" s="25">
        <f t="shared" si="32"/>
        <v>9731.0480000000007</v>
      </c>
      <c r="BQ41" s="25">
        <f t="shared" si="32"/>
        <v>9902.7750000000015</v>
      </c>
      <c r="BR41" s="25">
        <f t="shared" si="32"/>
        <v>10134.308000000001</v>
      </c>
      <c r="BS41" s="25">
        <f t="shared" si="32"/>
        <v>10409.449000000001</v>
      </c>
      <c r="BT41" s="25">
        <f t="shared" si="32"/>
        <v>10466.428</v>
      </c>
      <c r="BU41" s="25">
        <f t="shared" si="32"/>
        <v>10614.701000000001</v>
      </c>
      <c r="BV41" s="25">
        <f t="shared" si="32"/>
        <v>10610.921999999999</v>
      </c>
      <c r="BW41" s="25">
        <f t="shared" si="32"/>
        <v>10677.803</v>
      </c>
      <c r="BX41" s="25">
        <f t="shared" si="32"/>
        <v>10861.739</v>
      </c>
      <c r="BY41" s="25">
        <f t="shared" si="32"/>
        <v>10978.251</v>
      </c>
      <c r="BZ41" s="25">
        <f t="shared" si="32"/>
        <v>11166.972000000002</v>
      </c>
      <c r="CA41" s="25">
        <f t="shared" si="32"/>
        <v>11390.933000000001</v>
      </c>
      <c r="CB41" s="25">
        <f t="shared" si="32"/>
        <v>11411.852999999999</v>
      </c>
      <c r="CC41" s="25">
        <f t="shared" si="32"/>
        <v>11176.784</v>
      </c>
      <c r="CD41" s="25">
        <f t="shared" si="32"/>
        <v>11240.285</v>
      </c>
      <c r="CE41" s="25">
        <f t="shared" si="32"/>
        <v>11527.223999999998</v>
      </c>
      <c r="CF41" s="25">
        <f t="shared" si="32"/>
        <v>11927.623</v>
      </c>
      <c r="CG41" s="25">
        <f t="shared" si="32"/>
        <v>12239.624</v>
      </c>
      <c r="CH41" s="25">
        <f t="shared" si="32"/>
        <v>12627.656999999999</v>
      </c>
      <c r="CI41" s="25">
        <f t="shared" si="32"/>
        <v>13521.026</v>
      </c>
      <c r="CJ41" s="25">
        <f t="shared" si="32"/>
        <v>13987.54</v>
      </c>
      <c r="CK41" s="25">
        <f t="shared" si="32"/>
        <v>14162.857</v>
      </c>
      <c r="CL41" s="25">
        <f t="shared" si="32"/>
        <v>14514.687</v>
      </c>
      <c r="CM41" s="25">
        <f t="shared" si="32"/>
        <v>14725.496999999999</v>
      </c>
      <c r="CN41" s="25">
        <f t="shared" si="32"/>
        <v>14580.755000000001</v>
      </c>
      <c r="CO41" s="25">
        <f t="shared" si="32"/>
        <v>14742.777</v>
      </c>
      <c r="CP41" s="25">
        <f t="shared" si="32"/>
        <v>15011.573</v>
      </c>
      <c r="CQ41" s="25">
        <f t="shared" si="32"/>
        <v>15194.438</v>
      </c>
      <c r="CR41" s="25">
        <f t="shared" si="32"/>
        <v>15474.313999999998</v>
      </c>
    </row>
    <row r="42" spans="1:99" x14ac:dyDescent="0.25">
      <c r="BB42" s="54" t="s">
        <v>115</v>
      </c>
      <c r="BC42" s="13" t="s">
        <v>97</v>
      </c>
      <c r="BD42" s="25">
        <f t="shared" ref="BD42:CR42" si="33">BD80+BD96</f>
        <v>3611.8919999999998</v>
      </c>
      <c r="BE42" s="25">
        <f t="shared" si="33"/>
        <v>3813.1179999999999</v>
      </c>
      <c r="BF42" s="25">
        <f t="shared" si="33"/>
        <v>3873.087</v>
      </c>
      <c r="BG42" s="25">
        <f t="shared" si="33"/>
        <v>3984.2569999999996</v>
      </c>
      <c r="BH42" s="25">
        <f t="shared" si="33"/>
        <v>4157.1139999999996</v>
      </c>
      <c r="BI42" s="25">
        <f t="shared" si="33"/>
        <v>4185.6190000000006</v>
      </c>
      <c r="BJ42" s="25">
        <f t="shared" si="33"/>
        <v>4067.1619999999998</v>
      </c>
      <c r="BK42" s="25">
        <f t="shared" si="33"/>
        <v>3922.7570000000001</v>
      </c>
      <c r="BL42" s="25">
        <f t="shared" si="33"/>
        <v>4086.1980000000003</v>
      </c>
      <c r="BM42" s="25">
        <f t="shared" si="33"/>
        <v>4298.067</v>
      </c>
      <c r="BN42" s="25">
        <f t="shared" si="33"/>
        <v>4774.7910000000002</v>
      </c>
      <c r="BO42" s="25">
        <f t="shared" si="33"/>
        <v>5019.4840000000004</v>
      </c>
      <c r="BP42" s="25">
        <f t="shared" si="33"/>
        <v>5201.3449999999993</v>
      </c>
      <c r="BQ42" s="25">
        <f t="shared" si="33"/>
        <v>5381.1090000000004</v>
      </c>
      <c r="BR42" s="25">
        <f t="shared" si="33"/>
        <v>5443.4840000000004</v>
      </c>
      <c r="BS42" s="25">
        <f t="shared" si="33"/>
        <v>5569.9079999999994</v>
      </c>
      <c r="BT42" s="25">
        <f t="shared" si="33"/>
        <v>5682.3940000000002</v>
      </c>
      <c r="BU42" s="25">
        <f t="shared" si="33"/>
        <v>5754.9480000000003</v>
      </c>
      <c r="BV42" s="25">
        <f t="shared" si="33"/>
        <v>5848.018</v>
      </c>
      <c r="BW42" s="25">
        <f t="shared" si="33"/>
        <v>6042.4840000000004</v>
      </c>
      <c r="BX42" s="25">
        <f t="shared" si="33"/>
        <v>6204.0860000000002</v>
      </c>
      <c r="BY42" s="25">
        <f t="shared" si="33"/>
        <v>6342.6730000000007</v>
      </c>
      <c r="BZ42" s="25">
        <f t="shared" si="33"/>
        <v>6466.3060000000005</v>
      </c>
      <c r="CA42" s="25">
        <f t="shared" si="33"/>
        <v>6539.3649999999998</v>
      </c>
      <c r="CB42" s="25">
        <f t="shared" si="33"/>
        <v>6716.5810000000001</v>
      </c>
      <c r="CC42" s="25">
        <f t="shared" si="33"/>
        <v>6938.7969999999996</v>
      </c>
      <c r="CD42" s="25">
        <f t="shared" si="33"/>
        <v>7131.2960000000003</v>
      </c>
      <c r="CE42" s="25">
        <f t="shared" si="33"/>
        <v>7350.2270000000008</v>
      </c>
      <c r="CF42" s="25">
        <f t="shared" si="33"/>
        <v>7551.2039999999997</v>
      </c>
      <c r="CG42" s="25">
        <f t="shared" si="33"/>
        <v>7698.9390000000003</v>
      </c>
      <c r="CH42" s="25">
        <f t="shared" si="33"/>
        <v>7729.7960000000003</v>
      </c>
      <c r="CI42" s="25">
        <f t="shared" si="33"/>
        <v>7923.1</v>
      </c>
      <c r="CJ42" s="25">
        <f t="shared" si="33"/>
        <v>8263.3819999999996</v>
      </c>
      <c r="CK42" s="25">
        <f t="shared" si="33"/>
        <v>8656.1620000000003</v>
      </c>
      <c r="CL42" s="25">
        <f t="shared" si="33"/>
        <v>8955.4760000000006</v>
      </c>
      <c r="CM42" s="25">
        <f t="shared" si="33"/>
        <v>9222.521999999999</v>
      </c>
      <c r="CN42" s="25">
        <f t="shared" si="33"/>
        <v>9912.155999999999</v>
      </c>
      <c r="CO42" s="25">
        <f t="shared" si="33"/>
        <v>10401.119000000001</v>
      </c>
      <c r="CP42" s="25">
        <f t="shared" si="33"/>
        <v>10725.682000000001</v>
      </c>
      <c r="CQ42" s="25">
        <f t="shared" si="33"/>
        <v>11067.859</v>
      </c>
      <c r="CR42" s="25">
        <f t="shared" si="33"/>
        <v>11288.566999999999</v>
      </c>
    </row>
    <row r="43" spans="1:99" x14ac:dyDescent="0.25">
      <c r="BB43" s="54" t="s">
        <v>131</v>
      </c>
      <c r="BC43" s="13" t="s">
        <v>97</v>
      </c>
      <c r="BD43" s="25">
        <f t="shared" ref="BD43:CR43" si="34">SUM(BD27:BD42)</f>
        <v>392033.46900000004</v>
      </c>
      <c r="BE43" s="25">
        <f t="shared" si="34"/>
        <v>392344.07400000002</v>
      </c>
      <c r="BF43" s="25">
        <f t="shared" si="34"/>
        <v>392132.14600000001</v>
      </c>
      <c r="BG43" s="25">
        <f t="shared" si="34"/>
        <v>391818.64199999993</v>
      </c>
      <c r="BH43" s="25">
        <f t="shared" si="34"/>
        <v>394640.34499999991</v>
      </c>
      <c r="BI43" s="25">
        <f t="shared" si="34"/>
        <v>395127.65499999997</v>
      </c>
      <c r="BJ43" s="25">
        <f t="shared" si="34"/>
        <v>396680.15400000004</v>
      </c>
      <c r="BK43" s="25">
        <f t="shared" si="34"/>
        <v>398957.91800000001</v>
      </c>
      <c r="BL43" s="25">
        <f t="shared" si="34"/>
        <v>401371.13999999996</v>
      </c>
      <c r="BM43" s="25">
        <f t="shared" si="34"/>
        <v>404007.47100000002</v>
      </c>
      <c r="BN43" s="25">
        <f t="shared" si="34"/>
        <v>407769.61300000007</v>
      </c>
      <c r="BO43" s="25">
        <f t="shared" si="34"/>
        <v>409934.88800000004</v>
      </c>
      <c r="BP43" s="25">
        <f t="shared" si="34"/>
        <v>411098.51399999991</v>
      </c>
      <c r="BQ43" s="25">
        <f t="shared" si="34"/>
        <v>413178.09000000008</v>
      </c>
      <c r="BR43" s="25">
        <f t="shared" si="34"/>
        <v>415592.42199999996</v>
      </c>
      <c r="BS43" s="25">
        <f t="shared" si="34"/>
        <v>419519.27599999995</v>
      </c>
      <c r="BT43" s="25">
        <f t="shared" si="34"/>
        <v>421914.84900000005</v>
      </c>
      <c r="BU43" s="25">
        <f t="shared" si="34"/>
        <v>424306.01700000005</v>
      </c>
      <c r="BV43" s="25">
        <f t="shared" si="34"/>
        <v>426566.00199999992</v>
      </c>
      <c r="BW43" s="25">
        <f t="shared" si="34"/>
        <v>428783.71299999999</v>
      </c>
      <c r="BX43" s="25">
        <f t="shared" si="34"/>
        <v>430908.74200000003</v>
      </c>
      <c r="BY43" s="25">
        <f t="shared" si="34"/>
        <v>434167.74500000005</v>
      </c>
      <c r="BZ43" s="25">
        <f t="shared" si="34"/>
        <v>437377.94300000009</v>
      </c>
      <c r="CA43" s="25">
        <f t="shared" si="34"/>
        <v>440627.61800000002</v>
      </c>
      <c r="CB43" s="25">
        <f t="shared" si="34"/>
        <v>443882.45499999996</v>
      </c>
      <c r="CC43" s="25">
        <f t="shared" si="34"/>
        <v>447170.571</v>
      </c>
      <c r="CD43" s="25">
        <f t="shared" si="34"/>
        <v>450459.58399999997</v>
      </c>
      <c r="CE43" s="25">
        <f t="shared" si="34"/>
        <v>453840.60300000006</v>
      </c>
      <c r="CF43" s="25">
        <f t="shared" si="34"/>
        <v>457220.68700000009</v>
      </c>
      <c r="CG43" s="25">
        <f t="shared" si="34"/>
        <v>460532.59600000014</v>
      </c>
      <c r="CH43" s="25">
        <f t="shared" si="34"/>
        <v>463951.40500000003</v>
      </c>
      <c r="CI43" s="25">
        <f t="shared" si="34"/>
        <v>467534.54299999989</v>
      </c>
      <c r="CJ43" s="25">
        <f t="shared" si="34"/>
        <v>471082.66299999994</v>
      </c>
      <c r="CK43" s="25">
        <f t="shared" si="34"/>
        <v>474542.18500000011</v>
      </c>
      <c r="CL43" s="25">
        <f t="shared" si="34"/>
        <v>477880.41499999998</v>
      </c>
      <c r="CM43" s="25">
        <f t="shared" si="34"/>
        <v>481319.35800000001</v>
      </c>
      <c r="CN43" s="25">
        <f t="shared" si="34"/>
        <v>484793.76400000008</v>
      </c>
      <c r="CO43" s="25">
        <f t="shared" si="34"/>
        <v>488251.74699999992</v>
      </c>
      <c r="CP43" s="25">
        <f t="shared" si="34"/>
        <v>491616.33199999994</v>
      </c>
      <c r="CQ43" s="25">
        <f t="shared" si="34"/>
        <v>494855.78899999999</v>
      </c>
      <c r="CR43" s="25">
        <f t="shared" si="34"/>
        <v>498135.94799999997</v>
      </c>
    </row>
    <row r="44" spans="1:99" x14ac:dyDescent="0.25">
      <c r="BB44" s="19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</row>
    <row r="45" spans="1:99" x14ac:dyDescent="0.25">
      <c r="BB45" s="19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>
        <f t="shared" ref="BS45:CR45" si="35">MATCH(BS46,$BS$46:$CR$46,0)</f>
        <v>1</v>
      </c>
      <c r="BT45">
        <f t="shared" si="35"/>
        <v>2</v>
      </c>
      <c r="BU45">
        <f t="shared" si="35"/>
        <v>3</v>
      </c>
      <c r="BV45">
        <f t="shared" si="35"/>
        <v>4</v>
      </c>
      <c r="BW45">
        <f t="shared" si="35"/>
        <v>5</v>
      </c>
      <c r="BX45">
        <f t="shared" si="35"/>
        <v>6</v>
      </c>
      <c r="BY45">
        <f t="shared" si="35"/>
        <v>7</v>
      </c>
      <c r="BZ45">
        <f t="shared" si="35"/>
        <v>8</v>
      </c>
      <c r="CA45">
        <f t="shared" si="35"/>
        <v>9</v>
      </c>
      <c r="CB45">
        <f t="shared" si="35"/>
        <v>10</v>
      </c>
      <c r="CC45">
        <f t="shared" si="35"/>
        <v>11</v>
      </c>
      <c r="CD45">
        <f t="shared" si="35"/>
        <v>12</v>
      </c>
      <c r="CE45">
        <f t="shared" si="35"/>
        <v>13</v>
      </c>
      <c r="CF45">
        <f t="shared" si="35"/>
        <v>14</v>
      </c>
      <c r="CG45">
        <f t="shared" si="35"/>
        <v>15</v>
      </c>
      <c r="CH45">
        <f t="shared" si="35"/>
        <v>16</v>
      </c>
      <c r="CI45">
        <f t="shared" si="35"/>
        <v>17</v>
      </c>
      <c r="CJ45">
        <f t="shared" si="35"/>
        <v>18</v>
      </c>
      <c r="CK45">
        <f t="shared" si="35"/>
        <v>19</v>
      </c>
      <c r="CL45">
        <f t="shared" si="35"/>
        <v>20</v>
      </c>
      <c r="CM45">
        <f t="shared" si="35"/>
        <v>21</v>
      </c>
      <c r="CN45">
        <f t="shared" si="35"/>
        <v>22</v>
      </c>
      <c r="CO45">
        <f t="shared" si="35"/>
        <v>23</v>
      </c>
      <c r="CP45">
        <f t="shared" si="35"/>
        <v>24</v>
      </c>
      <c r="CQ45">
        <f t="shared" si="35"/>
        <v>25</v>
      </c>
      <c r="CR45">
        <f t="shared" si="35"/>
        <v>26</v>
      </c>
      <c r="CT45" t="s">
        <v>150</v>
      </c>
      <c r="CU45" t="s">
        <v>80</v>
      </c>
    </row>
    <row r="46" spans="1:99" ht="24" x14ac:dyDescent="0.3">
      <c r="A46" s="58"/>
      <c r="BB46" s="60" t="s">
        <v>148</v>
      </c>
      <c r="BD46" s="39">
        <f>BD26</f>
        <v>2001</v>
      </c>
      <c r="BE46" s="39">
        <f t="shared" ref="BE46:CR46" si="36">BE26</f>
        <v>2002</v>
      </c>
      <c r="BF46" s="39">
        <f t="shared" si="36"/>
        <v>2003</v>
      </c>
      <c r="BG46" s="39">
        <f t="shared" si="36"/>
        <v>2004</v>
      </c>
      <c r="BH46" s="39">
        <f t="shared" si="36"/>
        <v>2005</v>
      </c>
      <c r="BI46" s="39">
        <f t="shared" si="36"/>
        <v>2006</v>
      </c>
      <c r="BJ46" s="39">
        <f t="shared" si="36"/>
        <v>2007</v>
      </c>
      <c r="BK46" s="39">
        <f t="shared" si="36"/>
        <v>2008</v>
      </c>
      <c r="BL46" s="39">
        <f t="shared" si="36"/>
        <v>2009</v>
      </c>
      <c r="BM46" s="39">
        <f t="shared" si="36"/>
        <v>2010</v>
      </c>
      <c r="BN46" s="39">
        <f t="shared" si="36"/>
        <v>2011</v>
      </c>
      <c r="BO46" s="39">
        <f t="shared" si="36"/>
        <v>2012</v>
      </c>
      <c r="BP46" s="39">
        <f t="shared" si="36"/>
        <v>2013</v>
      </c>
      <c r="BQ46" s="39">
        <f t="shared" si="36"/>
        <v>2014</v>
      </c>
      <c r="BR46" s="39">
        <f t="shared" si="36"/>
        <v>2015</v>
      </c>
      <c r="BS46" s="39">
        <f t="shared" si="36"/>
        <v>2016</v>
      </c>
      <c r="BT46" s="39">
        <f t="shared" si="36"/>
        <v>2017</v>
      </c>
      <c r="BU46" s="39">
        <f t="shared" si="36"/>
        <v>2018</v>
      </c>
      <c r="BV46" s="39">
        <f t="shared" si="36"/>
        <v>2019</v>
      </c>
      <c r="BW46" s="39">
        <f t="shared" si="36"/>
        <v>2020</v>
      </c>
      <c r="BX46" s="39">
        <f t="shared" si="36"/>
        <v>2021</v>
      </c>
      <c r="BY46" s="39">
        <f t="shared" si="36"/>
        <v>2022</v>
      </c>
      <c r="BZ46" s="39">
        <f t="shared" si="36"/>
        <v>2023</v>
      </c>
      <c r="CA46" s="39">
        <f t="shared" si="36"/>
        <v>2024</v>
      </c>
      <c r="CB46" s="39">
        <f t="shared" si="36"/>
        <v>2025</v>
      </c>
      <c r="CC46" s="39">
        <f t="shared" si="36"/>
        <v>2026</v>
      </c>
      <c r="CD46" s="39">
        <f t="shared" si="36"/>
        <v>2027</v>
      </c>
      <c r="CE46" s="39">
        <f t="shared" si="36"/>
        <v>2028</v>
      </c>
      <c r="CF46" s="39">
        <f t="shared" si="36"/>
        <v>2029</v>
      </c>
      <c r="CG46" s="39">
        <f t="shared" si="36"/>
        <v>2030</v>
      </c>
      <c r="CH46" s="39">
        <f t="shared" si="36"/>
        <v>2031</v>
      </c>
      <c r="CI46" s="39">
        <f t="shared" si="36"/>
        <v>2032</v>
      </c>
      <c r="CJ46" s="39">
        <f t="shared" si="36"/>
        <v>2033</v>
      </c>
      <c r="CK46" s="39">
        <f t="shared" si="36"/>
        <v>2034</v>
      </c>
      <c r="CL46" s="39">
        <f t="shared" si="36"/>
        <v>2035</v>
      </c>
      <c r="CM46" s="39">
        <f t="shared" si="36"/>
        <v>2036</v>
      </c>
      <c r="CN46" s="39">
        <f t="shared" si="36"/>
        <v>2037</v>
      </c>
      <c r="CO46" s="39">
        <f t="shared" si="36"/>
        <v>2038</v>
      </c>
      <c r="CP46" s="39">
        <f t="shared" si="36"/>
        <v>2039</v>
      </c>
      <c r="CQ46" s="39">
        <f t="shared" si="36"/>
        <v>2040</v>
      </c>
      <c r="CR46" s="39">
        <f t="shared" si="36"/>
        <v>2041</v>
      </c>
      <c r="CT46">
        <v>2016</v>
      </c>
      <c r="CU46">
        <v>26</v>
      </c>
    </row>
    <row r="47" spans="1:99" x14ac:dyDescent="0.25">
      <c r="BA47" s="53"/>
      <c r="BB47" t="s">
        <v>116</v>
      </c>
      <c r="BD47" s="25">
        <f>BD27+BD28</f>
        <v>23201.676999999996</v>
      </c>
      <c r="BE47" s="25">
        <f t="shared" ref="BE47:CR47" si="37">BE27+BE28</f>
        <v>23584.407999999999</v>
      </c>
      <c r="BF47" s="25">
        <f t="shared" si="37"/>
        <v>24059.987999999998</v>
      </c>
      <c r="BG47" s="25">
        <f t="shared" si="37"/>
        <v>24553.641</v>
      </c>
      <c r="BH47" s="25">
        <f t="shared" si="37"/>
        <v>24675.194</v>
      </c>
      <c r="BI47" s="25">
        <f t="shared" si="37"/>
        <v>24026.758000000002</v>
      </c>
      <c r="BJ47" s="25">
        <f t="shared" si="37"/>
        <v>23518.598000000002</v>
      </c>
      <c r="BK47" s="25">
        <f t="shared" si="37"/>
        <v>22791.095000000001</v>
      </c>
      <c r="BL47" s="25">
        <f t="shared" si="37"/>
        <v>21900.222000000002</v>
      </c>
      <c r="BM47" s="25">
        <f t="shared" si="37"/>
        <v>21456.433000000001</v>
      </c>
      <c r="BN47" s="25">
        <f t="shared" si="37"/>
        <v>20842.798999999999</v>
      </c>
      <c r="BO47" s="25">
        <f t="shared" si="37"/>
        <v>20882.056</v>
      </c>
      <c r="BP47" s="25">
        <f t="shared" si="37"/>
        <v>20404.415000000001</v>
      </c>
      <c r="BQ47" s="25">
        <f t="shared" si="37"/>
        <v>20203.191999999999</v>
      </c>
      <c r="BR47" s="25">
        <f t="shared" si="37"/>
        <v>20064.166000000001</v>
      </c>
      <c r="BS47" s="25">
        <f t="shared" si="37"/>
        <v>20033.873</v>
      </c>
      <c r="BT47" s="25">
        <f t="shared" si="37"/>
        <v>19604.497000000003</v>
      </c>
      <c r="BU47" s="25">
        <f t="shared" si="37"/>
        <v>19212.326000000001</v>
      </c>
      <c r="BV47" s="25">
        <f t="shared" si="37"/>
        <v>18677.281999999999</v>
      </c>
      <c r="BW47" s="25">
        <f t="shared" si="37"/>
        <v>18153.025999999998</v>
      </c>
      <c r="BX47" s="25">
        <f t="shared" si="37"/>
        <v>17515.817999999999</v>
      </c>
      <c r="BY47" s="25">
        <f t="shared" si="37"/>
        <v>17244.651000000002</v>
      </c>
      <c r="BZ47" s="25">
        <f t="shared" si="37"/>
        <v>17057.406999999999</v>
      </c>
      <c r="CA47" s="25">
        <f t="shared" si="37"/>
        <v>17045.13</v>
      </c>
      <c r="CB47" s="25">
        <f t="shared" si="37"/>
        <v>17198.519</v>
      </c>
      <c r="CC47" s="25">
        <f t="shared" si="37"/>
        <v>17514.933000000001</v>
      </c>
      <c r="CD47" s="25">
        <f t="shared" si="37"/>
        <v>17929.382000000001</v>
      </c>
      <c r="CE47" s="25">
        <f t="shared" si="37"/>
        <v>18403.142</v>
      </c>
      <c r="CF47" s="25">
        <f t="shared" si="37"/>
        <v>18791.112999999998</v>
      </c>
      <c r="CG47" s="25">
        <f t="shared" si="37"/>
        <v>19068.201999999997</v>
      </c>
      <c r="CH47" s="25">
        <f t="shared" si="37"/>
        <v>19315.757999999998</v>
      </c>
      <c r="CI47" s="25">
        <f t="shared" si="37"/>
        <v>19648.353999999999</v>
      </c>
      <c r="CJ47" s="25">
        <f t="shared" si="37"/>
        <v>19788.164999999997</v>
      </c>
      <c r="CK47" s="25">
        <f t="shared" si="37"/>
        <v>19864.603999999999</v>
      </c>
      <c r="CL47" s="25">
        <f t="shared" si="37"/>
        <v>19908.964999999997</v>
      </c>
      <c r="CM47" s="25">
        <f t="shared" si="37"/>
        <v>19898.429000000004</v>
      </c>
      <c r="CN47" s="25">
        <f t="shared" si="37"/>
        <v>19695.942999999999</v>
      </c>
      <c r="CO47" s="25">
        <f t="shared" si="37"/>
        <v>19612.600999999999</v>
      </c>
      <c r="CP47" s="25">
        <f t="shared" si="37"/>
        <v>19587.237000000001</v>
      </c>
      <c r="CQ47" s="25">
        <f t="shared" si="37"/>
        <v>19582.182000000001</v>
      </c>
      <c r="CR47" s="25">
        <f t="shared" si="37"/>
        <v>19553.217000000001</v>
      </c>
      <c r="CT47">
        <v>2017</v>
      </c>
    </row>
    <row r="48" spans="1:99" x14ac:dyDescent="0.25">
      <c r="BB48" t="s">
        <v>117</v>
      </c>
      <c r="BD48" s="25">
        <f>BD29+BD30</f>
        <v>71427.88</v>
      </c>
      <c r="BE48" s="25">
        <f t="shared" ref="BE48:CR48" si="38">BE29+BE30</f>
        <v>69836.200000000012</v>
      </c>
      <c r="BF48" s="25">
        <f t="shared" si="38"/>
        <v>68306.92</v>
      </c>
      <c r="BG48" s="25">
        <f t="shared" si="38"/>
        <v>67178.260000000009</v>
      </c>
      <c r="BH48" s="25">
        <f t="shared" si="38"/>
        <v>67747.540000000008</v>
      </c>
      <c r="BI48" s="25">
        <f t="shared" si="38"/>
        <v>67587.429999999993</v>
      </c>
      <c r="BJ48" s="25">
        <f t="shared" si="38"/>
        <v>67813.48</v>
      </c>
      <c r="BK48" s="25">
        <f t="shared" si="38"/>
        <v>68727.55</v>
      </c>
      <c r="BL48" s="25">
        <f t="shared" si="38"/>
        <v>69283.209999999992</v>
      </c>
      <c r="BM48" s="25">
        <f t="shared" si="38"/>
        <v>69880.429999999993</v>
      </c>
      <c r="BN48" s="25">
        <f t="shared" si="38"/>
        <v>70192.39</v>
      </c>
      <c r="BO48" s="25">
        <f t="shared" si="38"/>
        <v>70171.149999999994</v>
      </c>
      <c r="BP48" s="25">
        <f t="shared" si="38"/>
        <v>70183.81</v>
      </c>
      <c r="BQ48" s="25">
        <f t="shared" si="38"/>
        <v>69782.399999999994</v>
      </c>
      <c r="BR48" s="25">
        <f t="shared" si="38"/>
        <v>69681.72</v>
      </c>
      <c r="BS48" s="25">
        <f t="shared" si="38"/>
        <v>70455.929999999993</v>
      </c>
      <c r="BT48" s="25">
        <f t="shared" si="38"/>
        <v>70811.25</v>
      </c>
      <c r="BU48" s="25">
        <f t="shared" si="38"/>
        <v>70798.880000000005</v>
      </c>
      <c r="BV48" s="25">
        <f t="shared" si="38"/>
        <v>71113.19</v>
      </c>
      <c r="BW48" s="25">
        <f t="shared" si="38"/>
        <v>71021.5</v>
      </c>
      <c r="BX48" s="25">
        <f t="shared" si="38"/>
        <v>71121.62</v>
      </c>
      <c r="BY48" s="25">
        <f t="shared" si="38"/>
        <v>71801.81</v>
      </c>
      <c r="BZ48" s="25">
        <f t="shared" si="38"/>
        <v>72234.240000000005</v>
      </c>
      <c r="CA48" s="25">
        <f t="shared" si="38"/>
        <v>72463.579999999987</v>
      </c>
      <c r="CB48" s="25">
        <f t="shared" si="38"/>
        <v>72198.03</v>
      </c>
      <c r="CC48" s="25">
        <f t="shared" si="38"/>
        <v>71455.92</v>
      </c>
      <c r="CD48" s="25">
        <f t="shared" si="38"/>
        <v>70728.540000000008</v>
      </c>
      <c r="CE48" s="25">
        <f t="shared" si="38"/>
        <v>70239.140000000014</v>
      </c>
      <c r="CF48" s="25">
        <f t="shared" si="38"/>
        <v>69800.329999999987</v>
      </c>
      <c r="CG48" s="25">
        <f t="shared" si="38"/>
        <v>69642.17</v>
      </c>
      <c r="CH48" s="25">
        <f t="shared" si="38"/>
        <v>69565.709999999992</v>
      </c>
      <c r="CI48" s="25">
        <f t="shared" si="38"/>
        <v>69532.23</v>
      </c>
      <c r="CJ48" s="25">
        <f t="shared" si="38"/>
        <v>69885.91</v>
      </c>
      <c r="CK48" s="25">
        <f t="shared" si="38"/>
        <v>70411.990000000005</v>
      </c>
      <c r="CL48" s="25">
        <f t="shared" si="38"/>
        <v>71162.26999999999</v>
      </c>
      <c r="CM48" s="25">
        <f t="shared" si="38"/>
        <v>72290.19</v>
      </c>
      <c r="CN48" s="25">
        <f t="shared" si="38"/>
        <v>73801.2</v>
      </c>
      <c r="CO48" s="25">
        <f t="shared" si="38"/>
        <v>75088.789999999994</v>
      </c>
      <c r="CP48" s="25">
        <f t="shared" si="38"/>
        <v>76045.100000000006</v>
      </c>
      <c r="CQ48" s="25">
        <f t="shared" si="38"/>
        <v>76806.28</v>
      </c>
      <c r="CR48" s="25">
        <f t="shared" si="38"/>
        <v>77382.399999999994</v>
      </c>
      <c r="CT48">
        <v>2018</v>
      </c>
    </row>
    <row r="49" spans="54:98" x14ac:dyDescent="0.25">
      <c r="BB49" t="s">
        <v>118</v>
      </c>
      <c r="BD49" s="25">
        <f>BD31+BD32</f>
        <v>79811.09</v>
      </c>
      <c r="BE49" s="25">
        <f t="shared" ref="BE49:CR49" si="39">BE31+BE32</f>
        <v>81338.92</v>
      </c>
      <c r="BF49" s="25">
        <f t="shared" si="39"/>
        <v>82510.64</v>
      </c>
      <c r="BG49" s="25">
        <f t="shared" si="39"/>
        <v>83241.88</v>
      </c>
      <c r="BH49" s="25">
        <f t="shared" si="39"/>
        <v>84494.19</v>
      </c>
      <c r="BI49" s="25">
        <f t="shared" si="39"/>
        <v>84810.16</v>
      </c>
      <c r="BJ49" s="25">
        <f t="shared" si="39"/>
        <v>84940.92</v>
      </c>
      <c r="BK49" s="25">
        <f t="shared" si="39"/>
        <v>84738.22</v>
      </c>
      <c r="BL49" s="25">
        <f t="shared" si="39"/>
        <v>84543.48</v>
      </c>
      <c r="BM49" s="25">
        <f t="shared" si="39"/>
        <v>83997.94</v>
      </c>
      <c r="BN49" s="25">
        <f t="shared" si="39"/>
        <v>83825.700000000012</v>
      </c>
      <c r="BO49" s="25">
        <f t="shared" si="39"/>
        <v>83242.47</v>
      </c>
      <c r="BP49" s="25">
        <f t="shared" si="39"/>
        <v>82303.010000000009</v>
      </c>
      <c r="BQ49" s="25">
        <f t="shared" si="39"/>
        <v>82030.830000000016</v>
      </c>
      <c r="BR49" s="25">
        <f t="shared" si="39"/>
        <v>82242.179999999993</v>
      </c>
      <c r="BS49" s="25">
        <f t="shared" si="39"/>
        <v>82782.709999999992</v>
      </c>
      <c r="BT49" s="25">
        <f t="shared" si="39"/>
        <v>82805.929999999993</v>
      </c>
      <c r="BU49" s="25">
        <f t="shared" si="39"/>
        <v>83388.47</v>
      </c>
      <c r="BV49" s="25">
        <f t="shared" si="39"/>
        <v>84003.41</v>
      </c>
      <c r="BW49" s="25">
        <f t="shared" si="39"/>
        <v>84929.64</v>
      </c>
      <c r="BX49" s="25">
        <f t="shared" si="39"/>
        <v>85750.56</v>
      </c>
      <c r="BY49" s="25">
        <f t="shared" si="39"/>
        <v>86839.72</v>
      </c>
      <c r="BZ49" s="25">
        <f t="shared" si="39"/>
        <v>87968.02</v>
      </c>
      <c r="CA49" s="25">
        <f t="shared" si="39"/>
        <v>88635.64</v>
      </c>
      <c r="CB49" s="25">
        <f t="shared" si="39"/>
        <v>89095.989999999991</v>
      </c>
      <c r="CC49" s="25">
        <f t="shared" si="39"/>
        <v>90158.3</v>
      </c>
      <c r="CD49" s="25">
        <f t="shared" si="39"/>
        <v>91215.66</v>
      </c>
      <c r="CE49" s="25">
        <f t="shared" si="39"/>
        <v>91879.03</v>
      </c>
      <c r="CF49" s="25">
        <f t="shared" si="39"/>
        <v>92851.260000000009</v>
      </c>
      <c r="CG49" s="25">
        <f t="shared" si="39"/>
        <v>93282.26</v>
      </c>
      <c r="CH49" s="25">
        <f t="shared" si="39"/>
        <v>93858.8</v>
      </c>
      <c r="CI49" s="25">
        <f t="shared" si="39"/>
        <v>94398.98</v>
      </c>
      <c r="CJ49" s="25">
        <f t="shared" si="39"/>
        <v>94599.239999999991</v>
      </c>
      <c r="CK49" s="25">
        <f t="shared" si="39"/>
        <v>94568.6</v>
      </c>
      <c r="CL49" s="25">
        <f t="shared" si="39"/>
        <v>93995.88</v>
      </c>
      <c r="CM49" s="25">
        <f t="shared" si="39"/>
        <v>92843.63</v>
      </c>
      <c r="CN49" s="25">
        <f t="shared" si="39"/>
        <v>91714.25</v>
      </c>
      <c r="CO49" s="25">
        <f t="shared" si="39"/>
        <v>90937.42</v>
      </c>
      <c r="CP49" s="25">
        <f t="shared" si="39"/>
        <v>90319.5</v>
      </c>
      <c r="CQ49" s="25">
        <f t="shared" si="39"/>
        <v>90116.12</v>
      </c>
      <c r="CR49" s="25">
        <f t="shared" si="39"/>
        <v>90142.9</v>
      </c>
      <c r="CT49">
        <v>2019</v>
      </c>
    </row>
    <row r="50" spans="54:98" x14ac:dyDescent="0.25">
      <c r="BB50" t="s">
        <v>119</v>
      </c>
      <c r="BD50" s="25">
        <f>BD33+BD34</f>
        <v>66063.31</v>
      </c>
      <c r="BE50" s="25">
        <f t="shared" ref="BE50:CR50" si="40">BE33+BE34</f>
        <v>65844.22</v>
      </c>
      <c r="BF50" s="25">
        <f t="shared" si="40"/>
        <v>66107.53</v>
      </c>
      <c r="BG50" s="25">
        <f t="shared" si="40"/>
        <v>66758.490000000005</v>
      </c>
      <c r="BH50" s="25">
        <f t="shared" si="40"/>
        <v>67899.859999999986</v>
      </c>
      <c r="BI50" s="25">
        <f t="shared" si="40"/>
        <v>69466.070000000007</v>
      </c>
      <c r="BJ50" s="25">
        <f t="shared" si="40"/>
        <v>71106.98</v>
      </c>
      <c r="BK50" s="25">
        <f t="shared" si="40"/>
        <v>72965.26999999999</v>
      </c>
      <c r="BL50" s="25">
        <f t="shared" si="40"/>
        <v>75037.45</v>
      </c>
      <c r="BM50" s="25">
        <f t="shared" si="40"/>
        <v>77113.84</v>
      </c>
      <c r="BN50" s="25">
        <f t="shared" si="40"/>
        <v>79214.290000000008</v>
      </c>
      <c r="BO50" s="25">
        <f t="shared" si="40"/>
        <v>80838.240000000005</v>
      </c>
      <c r="BP50" s="25">
        <f t="shared" si="40"/>
        <v>82169.05</v>
      </c>
      <c r="BQ50" s="25">
        <f t="shared" si="40"/>
        <v>83535.359999999986</v>
      </c>
      <c r="BR50" s="25">
        <f t="shared" si="40"/>
        <v>84730.09</v>
      </c>
      <c r="BS50" s="25">
        <f t="shared" si="40"/>
        <v>85808.16</v>
      </c>
      <c r="BT50" s="25">
        <f t="shared" si="40"/>
        <v>86140.96</v>
      </c>
      <c r="BU50" s="25">
        <f t="shared" si="40"/>
        <v>86093.440000000002</v>
      </c>
      <c r="BV50" s="25">
        <f t="shared" si="40"/>
        <v>85805.36</v>
      </c>
      <c r="BW50" s="25">
        <f t="shared" si="40"/>
        <v>85458.11</v>
      </c>
      <c r="BX50" s="25">
        <f t="shared" si="40"/>
        <v>85086.670000000013</v>
      </c>
      <c r="BY50" s="25">
        <f t="shared" si="40"/>
        <v>84311.05</v>
      </c>
      <c r="BZ50" s="25">
        <f t="shared" si="40"/>
        <v>83454.26999999999</v>
      </c>
      <c r="CA50" s="25">
        <f t="shared" si="40"/>
        <v>83291.319999999992</v>
      </c>
      <c r="CB50" s="25">
        <f t="shared" si="40"/>
        <v>83648.7</v>
      </c>
      <c r="CC50" s="25">
        <f t="shared" si="40"/>
        <v>83828.789999999994</v>
      </c>
      <c r="CD50" s="25">
        <f t="shared" si="40"/>
        <v>83948.82</v>
      </c>
      <c r="CE50" s="25">
        <f t="shared" si="40"/>
        <v>84594.709999999992</v>
      </c>
      <c r="CF50" s="25">
        <f t="shared" si="40"/>
        <v>85282.400000000009</v>
      </c>
      <c r="CG50" s="25">
        <f t="shared" si="40"/>
        <v>86273.18</v>
      </c>
      <c r="CH50" s="25">
        <f t="shared" si="40"/>
        <v>87214.97</v>
      </c>
      <c r="CI50" s="25">
        <f t="shared" si="40"/>
        <v>88337.98000000001</v>
      </c>
      <c r="CJ50" s="25">
        <f t="shared" si="40"/>
        <v>89515</v>
      </c>
      <c r="CK50" s="25">
        <f t="shared" si="40"/>
        <v>90237.34</v>
      </c>
      <c r="CL50" s="25">
        <f t="shared" si="40"/>
        <v>90730.69</v>
      </c>
      <c r="CM50" s="25">
        <f t="shared" si="40"/>
        <v>91778.06</v>
      </c>
      <c r="CN50" s="25">
        <f t="shared" si="40"/>
        <v>92785.45</v>
      </c>
      <c r="CO50" s="25">
        <f t="shared" si="40"/>
        <v>93401.329999999987</v>
      </c>
      <c r="CP50" s="25">
        <f t="shared" si="40"/>
        <v>94276.23000000001</v>
      </c>
      <c r="CQ50" s="25">
        <f t="shared" si="40"/>
        <v>94597.14</v>
      </c>
      <c r="CR50" s="25">
        <f t="shared" si="40"/>
        <v>95012.6</v>
      </c>
      <c r="CT50">
        <v>2020</v>
      </c>
    </row>
    <row r="51" spans="54:98" x14ac:dyDescent="0.25">
      <c r="BB51" t="s">
        <v>108</v>
      </c>
      <c r="BD51" s="25">
        <f>BD35+BD36</f>
        <v>54359.89</v>
      </c>
      <c r="BE51" s="25">
        <f t="shared" ref="BE51:BR51" si="41">BE35+BE36</f>
        <v>55116.26</v>
      </c>
      <c r="BF51" s="25">
        <f t="shared" si="41"/>
        <v>55534.06</v>
      </c>
      <c r="BG51" s="25">
        <f t="shared" si="41"/>
        <v>55419.59</v>
      </c>
      <c r="BH51" s="25">
        <f t="shared" si="41"/>
        <v>55948.979999999996</v>
      </c>
      <c r="BI51" s="25">
        <f t="shared" si="41"/>
        <v>56500.32</v>
      </c>
      <c r="BJ51" s="25">
        <f t="shared" si="41"/>
        <v>57112.72</v>
      </c>
      <c r="BK51" s="25">
        <f t="shared" si="41"/>
        <v>57676.259999999995</v>
      </c>
      <c r="BL51" s="25">
        <f t="shared" si="41"/>
        <v>58281.39</v>
      </c>
      <c r="BM51" s="25">
        <f t="shared" si="41"/>
        <v>59049.19</v>
      </c>
      <c r="BN51" s="25">
        <f t="shared" si="41"/>
        <v>59939.399999999994</v>
      </c>
      <c r="BO51" s="25">
        <f t="shared" si="41"/>
        <v>59790.06</v>
      </c>
      <c r="BP51" s="25">
        <f t="shared" si="41"/>
        <v>60272.59</v>
      </c>
      <c r="BQ51" s="25">
        <f t="shared" si="41"/>
        <v>61177.509999999995</v>
      </c>
      <c r="BR51" s="25">
        <f t="shared" si="41"/>
        <v>61980.11</v>
      </c>
      <c r="BS51" s="25">
        <f>BS35</f>
        <v>34645.440000000002</v>
      </c>
      <c r="BT51" s="25">
        <f t="shared" ref="BT51:CR51" si="42">BT35</f>
        <v>35871.520000000004</v>
      </c>
      <c r="BU51" s="25">
        <f t="shared" si="42"/>
        <v>36899.089999999997</v>
      </c>
      <c r="BV51" s="25">
        <f t="shared" si="42"/>
        <v>37838.79</v>
      </c>
      <c r="BW51" s="25">
        <f t="shared" si="42"/>
        <v>38671.949999999997</v>
      </c>
      <c r="BX51" s="25">
        <f t="shared" si="42"/>
        <v>39393.56</v>
      </c>
      <c r="BY51" s="25">
        <f t="shared" si="42"/>
        <v>39514.199999999997</v>
      </c>
      <c r="BZ51" s="25">
        <f t="shared" si="42"/>
        <v>39744.380000000005</v>
      </c>
      <c r="CA51" s="25">
        <f t="shared" si="42"/>
        <v>39883.81</v>
      </c>
      <c r="CB51" s="25">
        <f t="shared" si="42"/>
        <v>39974.979999999996</v>
      </c>
      <c r="CC51" s="25">
        <f t="shared" si="42"/>
        <v>40031.4</v>
      </c>
      <c r="CD51" s="25">
        <f t="shared" si="42"/>
        <v>39974.67</v>
      </c>
      <c r="CE51" s="25">
        <f t="shared" si="42"/>
        <v>39478.43</v>
      </c>
      <c r="CF51" s="25">
        <f t="shared" si="42"/>
        <v>38834.089999999997</v>
      </c>
      <c r="CG51" s="25">
        <f t="shared" si="42"/>
        <v>38169.32</v>
      </c>
      <c r="CH51" s="25">
        <f t="shared" si="42"/>
        <v>37525.71</v>
      </c>
      <c r="CI51" s="25">
        <f t="shared" si="42"/>
        <v>36849.42</v>
      </c>
      <c r="CJ51" s="25">
        <f t="shared" si="42"/>
        <v>36549.19</v>
      </c>
      <c r="CK51" s="25">
        <f t="shared" si="42"/>
        <v>37011.230000000003</v>
      </c>
      <c r="CL51" s="25">
        <f t="shared" si="42"/>
        <v>37971.199999999997</v>
      </c>
      <c r="CM51" s="25">
        <f t="shared" si="42"/>
        <v>38769.01</v>
      </c>
      <c r="CN51" s="25">
        <f t="shared" si="42"/>
        <v>39560.15</v>
      </c>
      <c r="CO51" s="25">
        <f t="shared" si="42"/>
        <v>40442.42</v>
      </c>
      <c r="CP51" s="25">
        <f t="shared" si="42"/>
        <v>40643</v>
      </c>
      <c r="CQ51" s="25">
        <f t="shared" si="42"/>
        <v>40653.300000000003</v>
      </c>
      <c r="CR51" s="25">
        <f t="shared" si="42"/>
        <v>40773.32</v>
      </c>
      <c r="CT51">
        <v>2021</v>
      </c>
    </row>
    <row r="52" spans="54:98" x14ac:dyDescent="0.25">
      <c r="BB52" t="s">
        <v>109</v>
      </c>
      <c r="BD52" s="25">
        <f>BD37+BD38</f>
        <v>49115.64</v>
      </c>
      <c r="BE52" s="25">
        <f t="shared" ref="BE52:BR52" si="43">BE37+BE38</f>
        <v>48588.710000000006</v>
      </c>
      <c r="BF52" s="25">
        <f t="shared" si="43"/>
        <v>47892.72</v>
      </c>
      <c r="BG52" s="25">
        <f t="shared" si="43"/>
        <v>47153.72</v>
      </c>
      <c r="BH52" s="25">
        <f t="shared" si="43"/>
        <v>46368.270000000004</v>
      </c>
      <c r="BI52" s="25">
        <f t="shared" si="43"/>
        <v>45124.85</v>
      </c>
      <c r="BJ52" s="25">
        <f t="shared" si="43"/>
        <v>44346.559999999998</v>
      </c>
      <c r="BK52" s="25">
        <f t="shared" si="43"/>
        <v>44168.557000000001</v>
      </c>
      <c r="BL52" s="25">
        <f t="shared" si="43"/>
        <v>44427.73</v>
      </c>
      <c r="BM52" s="25">
        <f t="shared" si="43"/>
        <v>44382.222999999998</v>
      </c>
      <c r="BN52" s="25">
        <f t="shared" si="43"/>
        <v>44232.968999999997</v>
      </c>
      <c r="BO52" s="25">
        <f t="shared" si="43"/>
        <v>45038.267999999996</v>
      </c>
      <c r="BP52" s="25">
        <f t="shared" si="43"/>
        <v>45394.282999999996</v>
      </c>
      <c r="BQ52" s="25">
        <f t="shared" si="43"/>
        <v>45475.471000000005</v>
      </c>
      <c r="BR52" s="25">
        <f t="shared" si="43"/>
        <v>45872.440999999999</v>
      </c>
      <c r="BS52" s="25">
        <f>BS36</f>
        <v>28608.92</v>
      </c>
      <c r="BT52" s="25">
        <f t="shared" ref="BT52:CR52" si="44">BT36</f>
        <v>28978.160000000003</v>
      </c>
      <c r="BU52" s="25">
        <f t="shared" si="44"/>
        <v>29343</v>
      </c>
      <c r="BV52" s="25">
        <f t="shared" si="44"/>
        <v>29767.13</v>
      </c>
      <c r="BW52" s="25">
        <f t="shared" si="44"/>
        <v>30410.760000000002</v>
      </c>
      <c r="BX52" s="25">
        <f t="shared" si="44"/>
        <v>31194.400000000001</v>
      </c>
      <c r="BY52" s="25">
        <f t="shared" si="44"/>
        <v>32267.41</v>
      </c>
      <c r="BZ52" s="25">
        <f t="shared" si="44"/>
        <v>33156.78</v>
      </c>
      <c r="CA52" s="25">
        <f t="shared" si="44"/>
        <v>33969.199999999997</v>
      </c>
      <c r="CB52" s="25">
        <f t="shared" si="44"/>
        <v>34689.79</v>
      </c>
      <c r="CC52" s="25">
        <f t="shared" si="44"/>
        <v>35295.350000000006</v>
      </c>
      <c r="CD52" s="25">
        <f t="shared" si="44"/>
        <v>35424.19</v>
      </c>
      <c r="CE52" s="25">
        <f t="shared" si="44"/>
        <v>35645.64</v>
      </c>
      <c r="CF52" s="25">
        <f t="shared" si="44"/>
        <v>35787.440000000002</v>
      </c>
      <c r="CG52" s="25">
        <f t="shared" si="44"/>
        <v>35872.9</v>
      </c>
      <c r="CH52" s="25">
        <f t="shared" si="44"/>
        <v>35934.81</v>
      </c>
      <c r="CI52" s="25">
        <f t="shared" si="44"/>
        <v>35892.07</v>
      </c>
      <c r="CJ52" s="25">
        <f t="shared" si="44"/>
        <v>35457.440000000002</v>
      </c>
      <c r="CK52" s="25">
        <f t="shared" si="44"/>
        <v>34882.660000000003</v>
      </c>
      <c r="CL52" s="25">
        <f t="shared" si="44"/>
        <v>34287.479999999996</v>
      </c>
      <c r="CM52" s="25">
        <f t="shared" si="44"/>
        <v>33703.370000000003</v>
      </c>
      <c r="CN52" s="25">
        <f t="shared" si="44"/>
        <v>33092.43</v>
      </c>
      <c r="CO52" s="25">
        <f t="shared" si="44"/>
        <v>32820.94</v>
      </c>
      <c r="CP52" s="25">
        <f t="shared" si="44"/>
        <v>33238.51</v>
      </c>
      <c r="CQ52" s="25">
        <f t="shared" si="44"/>
        <v>34106.81</v>
      </c>
      <c r="CR52" s="25">
        <f t="shared" si="44"/>
        <v>34838.71</v>
      </c>
      <c r="CT52">
        <v>2022</v>
      </c>
    </row>
    <row r="53" spans="54:98" x14ac:dyDescent="0.25">
      <c r="BB53" t="s">
        <v>120</v>
      </c>
      <c r="BD53" s="25">
        <f>BD39+BD40</f>
        <v>35718.377999999997</v>
      </c>
      <c r="BE53" s="25">
        <f t="shared" ref="BE53:BR53" si="45">BE39+BE40</f>
        <v>35782.672999999995</v>
      </c>
      <c r="BF53" s="25">
        <f t="shared" si="45"/>
        <v>35848.815000000002</v>
      </c>
      <c r="BG53" s="25">
        <f t="shared" si="45"/>
        <v>35650.241000000002</v>
      </c>
      <c r="BH53" s="25">
        <f t="shared" si="45"/>
        <v>35044.967000000004</v>
      </c>
      <c r="BI53" s="25">
        <f t="shared" si="45"/>
        <v>34662.832999999999</v>
      </c>
      <c r="BJ53" s="25">
        <f t="shared" si="45"/>
        <v>34561.468000000001</v>
      </c>
      <c r="BK53" s="25">
        <f t="shared" si="45"/>
        <v>34388.671999999999</v>
      </c>
      <c r="BL53" s="25">
        <f t="shared" si="45"/>
        <v>34284.357999999993</v>
      </c>
      <c r="BM53" s="25">
        <f t="shared" si="45"/>
        <v>34397.311999999998</v>
      </c>
      <c r="BN53" s="25">
        <f t="shared" si="45"/>
        <v>35086.391000000003</v>
      </c>
      <c r="BO53" s="25">
        <f t="shared" si="45"/>
        <v>35233.881999999998</v>
      </c>
      <c r="BP53" s="25">
        <f t="shared" si="45"/>
        <v>35438.963000000003</v>
      </c>
      <c r="BQ53" s="25">
        <f t="shared" si="45"/>
        <v>35689.442999999999</v>
      </c>
      <c r="BR53" s="25">
        <f t="shared" si="45"/>
        <v>35443.923000000003</v>
      </c>
      <c r="BS53" s="25">
        <f>BS37+BS38</f>
        <v>46314.237999999998</v>
      </c>
      <c r="BT53" s="25">
        <f t="shared" ref="BT53:CR53" si="46">BT37+BT38</f>
        <v>46738.663999999997</v>
      </c>
      <c r="BU53" s="25">
        <f t="shared" si="46"/>
        <v>47066.224999999999</v>
      </c>
      <c r="BV53" s="25">
        <f t="shared" si="46"/>
        <v>47186.406999999999</v>
      </c>
      <c r="BW53" s="25">
        <f t="shared" si="46"/>
        <v>47490.114000000001</v>
      </c>
      <c r="BX53" s="25">
        <f t="shared" si="46"/>
        <v>47777.652000000002</v>
      </c>
      <c r="BY53" s="25">
        <f t="shared" si="46"/>
        <v>47724.108</v>
      </c>
      <c r="BZ53" s="25">
        <f t="shared" si="46"/>
        <v>48204.788</v>
      </c>
      <c r="CA53" s="25">
        <f t="shared" si="46"/>
        <v>48962.407000000007</v>
      </c>
      <c r="CB53" s="25">
        <f t="shared" si="46"/>
        <v>49719.531000000003</v>
      </c>
      <c r="CC53" s="25">
        <f t="shared" si="46"/>
        <v>50765.086000000003</v>
      </c>
      <c r="CD53" s="25">
        <f t="shared" si="46"/>
        <v>52101.733</v>
      </c>
      <c r="CE53" s="25">
        <f t="shared" si="46"/>
        <v>53286.620999999999</v>
      </c>
      <c r="CF53" s="25">
        <f t="shared" si="46"/>
        <v>54464.92</v>
      </c>
      <c r="CG53" s="25">
        <f t="shared" si="46"/>
        <v>55745.84</v>
      </c>
      <c r="CH53" s="25">
        <f t="shared" si="46"/>
        <v>57045.599999999999</v>
      </c>
      <c r="CI53" s="25">
        <f t="shared" si="46"/>
        <v>58158.34</v>
      </c>
      <c r="CJ53" s="25">
        <f t="shared" si="46"/>
        <v>59190.380000000005</v>
      </c>
      <c r="CK53" s="25">
        <f t="shared" si="46"/>
        <v>60093.53</v>
      </c>
      <c r="CL53" s="25">
        <f t="shared" si="46"/>
        <v>60858.840000000004</v>
      </c>
      <c r="CM53" s="25">
        <f t="shared" si="46"/>
        <v>61496.47</v>
      </c>
      <c r="CN53" s="25">
        <f t="shared" si="46"/>
        <v>61646.84</v>
      </c>
      <c r="CO53" s="25">
        <f t="shared" si="46"/>
        <v>61532.710000000006</v>
      </c>
      <c r="CP53" s="25">
        <f t="shared" si="46"/>
        <v>61219.229999999996</v>
      </c>
      <c r="CQ53" s="25">
        <f t="shared" si="46"/>
        <v>60827.68</v>
      </c>
      <c r="CR53" s="25">
        <f t="shared" si="46"/>
        <v>60428</v>
      </c>
      <c r="CT53">
        <v>2023</v>
      </c>
    </row>
    <row r="54" spans="54:98" x14ac:dyDescent="0.25">
      <c r="BB54" t="s">
        <v>121</v>
      </c>
      <c r="BD54" s="25">
        <f>BD41+BD42</f>
        <v>12335.603999999999</v>
      </c>
      <c r="BE54" s="25">
        <f t="shared" ref="BE54:BR54" si="47">BE41+BE42</f>
        <v>12252.682999999999</v>
      </c>
      <c r="BF54" s="25">
        <f t="shared" si="47"/>
        <v>11871.473</v>
      </c>
      <c r="BG54" s="25">
        <f t="shared" si="47"/>
        <v>11862.82</v>
      </c>
      <c r="BH54" s="25">
        <f t="shared" si="47"/>
        <v>12461.343999999999</v>
      </c>
      <c r="BI54" s="25">
        <f t="shared" si="47"/>
        <v>12949.234</v>
      </c>
      <c r="BJ54" s="25">
        <f t="shared" si="47"/>
        <v>13279.428</v>
      </c>
      <c r="BK54" s="25">
        <f t="shared" si="47"/>
        <v>13502.294</v>
      </c>
      <c r="BL54" s="25">
        <f t="shared" si="47"/>
        <v>13613.3</v>
      </c>
      <c r="BM54" s="25">
        <f t="shared" si="47"/>
        <v>13730.102999999999</v>
      </c>
      <c r="BN54" s="25">
        <f t="shared" si="47"/>
        <v>14435.673999999999</v>
      </c>
      <c r="BO54" s="25">
        <f t="shared" si="47"/>
        <v>14738.762000000001</v>
      </c>
      <c r="BP54" s="25">
        <f t="shared" si="47"/>
        <v>14932.393</v>
      </c>
      <c r="BQ54" s="25">
        <f t="shared" si="47"/>
        <v>15283.884000000002</v>
      </c>
      <c r="BR54" s="25">
        <f t="shared" si="47"/>
        <v>15577.792000000001</v>
      </c>
      <c r="BS54" s="25">
        <f>BS39+BS40</f>
        <v>34890.648000000001</v>
      </c>
      <c r="BT54" s="25">
        <f t="shared" ref="BT54:CR54" si="48">BT39+BT40</f>
        <v>34815.046000000002</v>
      </c>
      <c r="BU54" s="25">
        <f t="shared" si="48"/>
        <v>35134.937000000005</v>
      </c>
      <c r="BV54" s="25">
        <f t="shared" si="48"/>
        <v>35715.492999999995</v>
      </c>
      <c r="BW54" s="25">
        <f t="shared" si="48"/>
        <v>35928.326000000001</v>
      </c>
      <c r="BX54" s="25">
        <f t="shared" si="48"/>
        <v>36002.636999999995</v>
      </c>
      <c r="BY54" s="25">
        <f t="shared" si="48"/>
        <v>37143.871999999996</v>
      </c>
      <c r="BZ54" s="25">
        <f t="shared" si="48"/>
        <v>37924.78</v>
      </c>
      <c r="CA54" s="25">
        <f t="shared" si="48"/>
        <v>38446.233</v>
      </c>
      <c r="CB54" s="25">
        <f t="shared" si="48"/>
        <v>39228.481</v>
      </c>
      <c r="CC54" s="25">
        <f t="shared" si="48"/>
        <v>40005.210999999996</v>
      </c>
      <c r="CD54" s="25">
        <f t="shared" si="48"/>
        <v>40765.008000000002</v>
      </c>
      <c r="CE54" s="25">
        <f t="shared" si="48"/>
        <v>41436.438999999998</v>
      </c>
      <c r="CF54" s="25">
        <f t="shared" si="48"/>
        <v>41930.307000000001</v>
      </c>
      <c r="CG54" s="25">
        <f t="shared" si="48"/>
        <v>42540.161</v>
      </c>
      <c r="CH54" s="25">
        <f t="shared" si="48"/>
        <v>43132.593999999997</v>
      </c>
      <c r="CI54" s="25">
        <f t="shared" si="48"/>
        <v>43273.042999999998</v>
      </c>
      <c r="CJ54" s="25">
        <f t="shared" si="48"/>
        <v>43846.415999999997</v>
      </c>
      <c r="CK54" s="25">
        <f t="shared" si="48"/>
        <v>44653.212</v>
      </c>
      <c r="CL54" s="25">
        <f t="shared" si="48"/>
        <v>45494.927000000003</v>
      </c>
      <c r="CM54" s="25">
        <f t="shared" si="48"/>
        <v>46592.18</v>
      </c>
      <c r="CN54" s="25">
        <f t="shared" si="48"/>
        <v>48004.59</v>
      </c>
      <c r="CO54" s="25">
        <f t="shared" si="48"/>
        <v>49271.64</v>
      </c>
      <c r="CP54" s="25">
        <f t="shared" si="48"/>
        <v>50550.270000000004</v>
      </c>
      <c r="CQ54" s="25">
        <f t="shared" si="48"/>
        <v>51903.98</v>
      </c>
      <c r="CR54" s="25">
        <f t="shared" si="48"/>
        <v>53241.919999999998</v>
      </c>
      <c r="CT54">
        <v>2024</v>
      </c>
    </row>
    <row r="55" spans="54:98" x14ac:dyDescent="0.25">
      <c r="BB55" t="s">
        <v>122</v>
      </c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>
        <f>BS41+BS42</f>
        <v>15979.357</v>
      </c>
      <c r="BT55" s="25">
        <f t="shared" ref="BT55:CR55" si="49">BT41+BT42</f>
        <v>16148.822</v>
      </c>
      <c r="BU55" s="25">
        <f t="shared" si="49"/>
        <v>16369.649000000001</v>
      </c>
      <c r="BV55" s="25">
        <f t="shared" si="49"/>
        <v>16458.939999999999</v>
      </c>
      <c r="BW55" s="25">
        <f t="shared" si="49"/>
        <v>16720.287</v>
      </c>
      <c r="BX55" s="25">
        <f t="shared" si="49"/>
        <v>17065.825000000001</v>
      </c>
      <c r="BY55" s="25">
        <f t="shared" si="49"/>
        <v>17320.923999999999</v>
      </c>
      <c r="BZ55" s="25">
        <f t="shared" si="49"/>
        <v>17633.278000000002</v>
      </c>
      <c r="CA55" s="25">
        <f t="shared" si="49"/>
        <v>17930.298000000003</v>
      </c>
      <c r="CB55" s="25">
        <f t="shared" si="49"/>
        <v>18128.434000000001</v>
      </c>
      <c r="CC55" s="25">
        <f t="shared" si="49"/>
        <v>18115.580999999998</v>
      </c>
      <c r="CD55" s="25">
        <f t="shared" si="49"/>
        <v>18371.580999999998</v>
      </c>
      <c r="CE55" s="25">
        <f t="shared" si="49"/>
        <v>18877.451000000001</v>
      </c>
      <c r="CF55" s="25">
        <f t="shared" si="49"/>
        <v>19478.826999999997</v>
      </c>
      <c r="CG55" s="25">
        <f t="shared" si="49"/>
        <v>19938.563000000002</v>
      </c>
      <c r="CH55" s="25">
        <f t="shared" si="49"/>
        <v>20357.453000000001</v>
      </c>
      <c r="CI55" s="25">
        <f t="shared" si="49"/>
        <v>21444.126</v>
      </c>
      <c r="CJ55" s="25">
        <f t="shared" si="49"/>
        <v>22250.921999999999</v>
      </c>
      <c r="CK55" s="25">
        <f t="shared" si="49"/>
        <v>22819.019</v>
      </c>
      <c r="CL55" s="25">
        <f t="shared" si="49"/>
        <v>23470.163</v>
      </c>
      <c r="CM55" s="25">
        <f t="shared" si="49"/>
        <v>23948.019</v>
      </c>
      <c r="CN55" s="25">
        <f t="shared" si="49"/>
        <v>24492.911</v>
      </c>
      <c r="CO55" s="25">
        <f t="shared" si="49"/>
        <v>25143.896000000001</v>
      </c>
      <c r="CP55" s="25">
        <f t="shared" si="49"/>
        <v>25737.255000000001</v>
      </c>
      <c r="CQ55" s="25">
        <f t="shared" si="49"/>
        <v>26262.296999999999</v>
      </c>
      <c r="CR55" s="25">
        <f t="shared" si="49"/>
        <v>26762.880999999998</v>
      </c>
      <c r="CT55">
        <v>2025</v>
      </c>
    </row>
    <row r="56" spans="54:98" x14ac:dyDescent="0.25">
      <c r="BB56" s="19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T56">
        <v>2026</v>
      </c>
    </row>
    <row r="57" spans="54:98" x14ac:dyDescent="0.25">
      <c r="BB57" s="53" t="s">
        <v>123</v>
      </c>
      <c r="BD57" s="17">
        <f>BD26</f>
        <v>2001</v>
      </c>
      <c r="BE57" s="17">
        <f t="shared" ref="BE57:CR57" si="50">BE26</f>
        <v>2002</v>
      </c>
      <c r="BF57" s="17">
        <f t="shared" si="50"/>
        <v>2003</v>
      </c>
      <c r="BG57" s="17">
        <f t="shared" si="50"/>
        <v>2004</v>
      </c>
      <c r="BH57" s="17">
        <f t="shared" si="50"/>
        <v>2005</v>
      </c>
      <c r="BI57" s="17">
        <f t="shared" si="50"/>
        <v>2006</v>
      </c>
      <c r="BJ57" s="17">
        <f t="shared" si="50"/>
        <v>2007</v>
      </c>
      <c r="BK57" s="17">
        <f t="shared" si="50"/>
        <v>2008</v>
      </c>
      <c r="BL57" s="17">
        <f t="shared" si="50"/>
        <v>2009</v>
      </c>
      <c r="BM57" s="17">
        <f t="shared" si="50"/>
        <v>2010</v>
      </c>
      <c r="BN57" s="17">
        <f t="shared" si="50"/>
        <v>2011</v>
      </c>
      <c r="BO57" s="17">
        <f t="shared" si="50"/>
        <v>2012</v>
      </c>
      <c r="BP57" s="17">
        <f t="shared" si="50"/>
        <v>2013</v>
      </c>
      <c r="BQ57" s="17">
        <f t="shared" si="50"/>
        <v>2014</v>
      </c>
      <c r="BR57" s="17">
        <f t="shared" si="50"/>
        <v>2015</v>
      </c>
      <c r="BS57" s="17">
        <f t="shared" si="50"/>
        <v>2016</v>
      </c>
      <c r="BT57" s="17">
        <f t="shared" si="50"/>
        <v>2017</v>
      </c>
      <c r="BU57" s="17">
        <f t="shared" si="50"/>
        <v>2018</v>
      </c>
      <c r="BV57" s="17">
        <f t="shared" si="50"/>
        <v>2019</v>
      </c>
      <c r="BW57" s="17">
        <f t="shared" si="50"/>
        <v>2020</v>
      </c>
      <c r="BX57" s="17">
        <f t="shared" si="50"/>
        <v>2021</v>
      </c>
      <c r="BY57" s="17">
        <f t="shared" si="50"/>
        <v>2022</v>
      </c>
      <c r="BZ57" s="17">
        <f t="shared" si="50"/>
        <v>2023</v>
      </c>
      <c r="CA57" s="17">
        <f t="shared" si="50"/>
        <v>2024</v>
      </c>
      <c r="CB57" s="17">
        <f t="shared" si="50"/>
        <v>2025</v>
      </c>
      <c r="CC57" s="17">
        <f t="shared" si="50"/>
        <v>2026</v>
      </c>
      <c r="CD57" s="17">
        <f t="shared" si="50"/>
        <v>2027</v>
      </c>
      <c r="CE57" s="17">
        <f t="shared" si="50"/>
        <v>2028</v>
      </c>
      <c r="CF57" s="17">
        <f t="shared" si="50"/>
        <v>2029</v>
      </c>
      <c r="CG57" s="17">
        <f t="shared" si="50"/>
        <v>2030</v>
      </c>
      <c r="CH57" s="17">
        <f t="shared" si="50"/>
        <v>2031</v>
      </c>
      <c r="CI57" s="17">
        <f t="shared" si="50"/>
        <v>2032</v>
      </c>
      <c r="CJ57" s="17">
        <f t="shared" si="50"/>
        <v>2033</v>
      </c>
      <c r="CK57" s="17">
        <f t="shared" si="50"/>
        <v>2034</v>
      </c>
      <c r="CL57" s="17">
        <f t="shared" si="50"/>
        <v>2035</v>
      </c>
      <c r="CM57" s="17">
        <f t="shared" si="50"/>
        <v>2036</v>
      </c>
      <c r="CN57" s="17">
        <f t="shared" si="50"/>
        <v>2037</v>
      </c>
      <c r="CO57" s="17">
        <f t="shared" si="50"/>
        <v>2038</v>
      </c>
      <c r="CP57" s="17">
        <f t="shared" si="50"/>
        <v>2039</v>
      </c>
      <c r="CQ57" s="17">
        <f t="shared" si="50"/>
        <v>2040</v>
      </c>
      <c r="CR57" s="17">
        <f t="shared" si="50"/>
        <v>2041</v>
      </c>
      <c r="CT57">
        <v>2027</v>
      </c>
    </row>
    <row r="58" spans="54:98" x14ac:dyDescent="0.25">
      <c r="BB58" s="54" t="s">
        <v>124</v>
      </c>
      <c r="BD58" s="25">
        <f>SUM(BD27:BD29)</f>
        <v>53034.716999999997</v>
      </c>
      <c r="BE58" s="25">
        <f t="shared" ref="BE58:CR58" si="51">SUM(BE27:BE29)</f>
        <v>52674.737999999998</v>
      </c>
      <c r="BF58" s="25">
        <f t="shared" si="51"/>
        <v>52725.998</v>
      </c>
      <c r="BG58" s="25">
        <f t="shared" si="51"/>
        <v>53352.100999999995</v>
      </c>
      <c r="BH58" s="25">
        <f t="shared" si="51"/>
        <v>54804.233999999997</v>
      </c>
      <c r="BI58" s="25">
        <f t="shared" si="51"/>
        <v>54962.908000000003</v>
      </c>
      <c r="BJ58" s="25">
        <f t="shared" si="51"/>
        <v>55386.038</v>
      </c>
      <c r="BK58" s="25">
        <f t="shared" si="51"/>
        <v>55547.485000000001</v>
      </c>
      <c r="BL58" s="25">
        <f t="shared" si="51"/>
        <v>54477.652000000002</v>
      </c>
      <c r="BM58" s="25">
        <f t="shared" si="51"/>
        <v>53551.392999999996</v>
      </c>
      <c r="BN58" s="25">
        <f t="shared" si="51"/>
        <v>52374.159</v>
      </c>
      <c r="BO58" s="25">
        <f t="shared" si="51"/>
        <v>52179.846000000005</v>
      </c>
      <c r="BP58" s="25">
        <f t="shared" si="51"/>
        <v>51327.445</v>
      </c>
      <c r="BQ58" s="25">
        <f t="shared" si="51"/>
        <v>51032.951999999997</v>
      </c>
      <c r="BR58" s="25">
        <f t="shared" si="51"/>
        <v>51075.426000000007</v>
      </c>
      <c r="BS58" s="25">
        <f t="shared" si="51"/>
        <v>51868.183000000005</v>
      </c>
      <c r="BT58" s="25">
        <f t="shared" si="51"/>
        <v>51791.906999999999</v>
      </c>
      <c r="BU58" s="25">
        <f t="shared" si="51"/>
        <v>51533.286</v>
      </c>
      <c r="BV58" s="25">
        <f t="shared" si="51"/>
        <v>51120.671999999999</v>
      </c>
      <c r="BW58" s="25">
        <f t="shared" si="51"/>
        <v>50301.646000000001</v>
      </c>
      <c r="BX58" s="25">
        <f t="shared" si="51"/>
        <v>49128.597999999998</v>
      </c>
      <c r="BY58" s="25">
        <f t="shared" si="51"/>
        <v>48788.591</v>
      </c>
      <c r="BZ58" s="25">
        <f t="shared" si="51"/>
        <v>48567.566999999995</v>
      </c>
      <c r="CA58" s="25">
        <f t="shared" si="51"/>
        <v>48321.95</v>
      </c>
      <c r="CB58" s="25">
        <f t="shared" si="51"/>
        <v>48240.868999999999</v>
      </c>
      <c r="CC58" s="25">
        <f t="shared" si="51"/>
        <v>48112.843000000001</v>
      </c>
      <c r="CD58" s="25">
        <f t="shared" si="51"/>
        <v>47952.642000000007</v>
      </c>
      <c r="CE58" s="25">
        <f t="shared" si="51"/>
        <v>48068.512000000002</v>
      </c>
      <c r="CF58" s="25">
        <f t="shared" si="51"/>
        <v>48365.072999999997</v>
      </c>
      <c r="CG58" s="25">
        <f t="shared" si="51"/>
        <v>48829.341999999997</v>
      </c>
      <c r="CH58" s="25">
        <f t="shared" si="51"/>
        <v>49596.487999999998</v>
      </c>
      <c r="CI58" s="25">
        <f t="shared" si="51"/>
        <v>50648.983999999997</v>
      </c>
      <c r="CJ58" s="25">
        <f t="shared" si="51"/>
        <v>51597.595000000001</v>
      </c>
      <c r="CK58" s="25">
        <f t="shared" si="51"/>
        <v>52318.474000000002</v>
      </c>
      <c r="CL58" s="25">
        <f t="shared" si="51"/>
        <v>52880.694999999992</v>
      </c>
      <c r="CM58" s="25">
        <f t="shared" si="51"/>
        <v>53328.529000000002</v>
      </c>
      <c r="CN58" s="25">
        <f t="shared" si="51"/>
        <v>53698.373</v>
      </c>
      <c r="CO58" s="25">
        <f t="shared" si="51"/>
        <v>53852.300999999992</v>
      </c>
      <c r="CP58" s="25">
        <f t="shared" si="51"/>
        <v>53957.966999999997</v>
      </c>
      <c r="CQ58" s="25">
        <f t="shared" si="51"/>
        <v>54018.982000000004</v>
      </c>
      <c r="CR58" s="25">
        <f t="shared" si="51"/>
        <v>53959.637000000002</v>
      </c>
      <c r="CT58">
        <v>2028</v>
      </c>
    </row>
    <row r="59" spans="54:98" x14ac:dyDescent="0.25">
      <c r="BB59" s="54" t="s">
        <v>125</v>
      </c>
      <c r="BD59" s="25">
        <f>SUM(BD30:BD33)</f>
        <v>154641.49</v>
      </c>
      <c r="BE59" s="25">
        <f t="shared" ref="BE59:CR59" si="52">SUM(BE30:BE33)</f>
        <v>155694.28</v>
      </c>
      <c r="BF59" s="25">
        <f t="shared" si="52"/>
        <v>156327.83000000002</v>
      </c>
      <c r="BG59" s="25">
        <f t="shared" si="52"/>
        <v>156536.34000000003</v>
      </c>
      <c r="BH59" s="25">
        <f t="shared" si="52"/>
        <v>158014.16999999998</v>
      </c>
      <c r="BI59" s="25">
        <f t="shared" si="52"/>
        <v>158478.34</v>
      </c>
      <c r="BJ59" s="25">
        <f t="shared" si="52"/>
        <v>158968.88</v>
      </c>
      <c r="BK59" s="25">
        <f t="shared" si="52"/>
        <v>159909.52000000002</v>
      </c>
      <c r="BL59" s="25">
        <f t="shared" si="52"/>
        <v>161630.04999999999</v>
      </c>
      <c r="BM59" s="25">
        <f t="shared" si="52"/>
        <v>163372.57</v>
      </c>
      <c r="BN59" s="25">
        <f t="shared" si="52"/>
        <v>164964.34</v>
      </c>
      <c r="BO59" s="25">
        <f t="shared" si="52"/>
        <v>164885.71000000002</v>
      </c>
      <c r="BP59" s="25">
        <f t="shared" si="52"/>
        <v>164618.59</v>
      </c>
      <c r="BQ59" s="25">
        <f t="shared" si="52"/>
        <v>164349.32</v>
      </c>
      <c r="BR59" s="25">
        <f t="shared" si="52"/>
        <v>164466.5</v>
      </c>
      <c r="BS59" s="25">
        <f t="shared" si="52"/>
        <v>165227.25999999998</v>
      </c>
      <c r="BT59" s="25">
        <f t="shared" si="52"/>
        <v>165340.04</v>
      </c>
      <c r="BU59" s="25">
        <f t="shared" si="52"/>
        <v>165354.15000000002</v>
      </c>
      <c r="BV59" s="25">
        <f t="shared" si="52"/>
        <v>165597.37</v>
      </c>
      <c r="BW59" s="25">
        <f t="shared" si="52"/>
        <v>166144.34999999998</v>
      </c>
      <c r="BX59" s="25">
        <f t="shared" si="52"/>
        <v>167050.86000000002</v>
      </c>
      <c r="BY59" s="25">
        <f t="shared" si="52"/>
        <v>168176.28</v>
      </c>
      <c r="BZ59" s="25">
        <f t="shared" si="52"/>
        <v>169460.11</v>
      </c>
      <c r="CA59" s="25">
        <f t="shared" si="52"/>
        <v>171123.34999999998</v>
      </c>
      <c r="CB59" s="25">
        <f t="shared" si="52"/>
        <v>172622.40999999997</v>
      </c>
      <c r="CC59" s="25">
        <f t="shared" si="52"/>
        <v>174247.09</v>
      </c>
      <c r="CD59" s="25">
        <f t="shared" si="52"/>
        <v>175989.71000000002</v>
      </c>
      <c r="CE59" s="25">
        <f t="shared" si="52"/>
        <v>177481.55</v>
      </c>
      <c r="CF59" s="25">
        <f t="shared" si="52"/>
        <v>178286.54</v>
      </c>
      <c r="CG59" s="25">
        <f t="shared" si="52"/>
        <v>178322.46999999997</v>
      </c>
      <c r="CH59" s="25">
        <f t="shared" si="52"/>
        <v>178395.34</v>
      </c>
      <c r="CI59" s="25">
        <f t="shared" si="52"/>
        <v>178469.18</v>
      </c>
      <c r="CJ59" s="25">
        <f t="shared" si="52"/>
        <v>178449.77000000002</v>
      </c>
      <c r="CK59" s="25">
        <f t="shared" si="52"/>
        <v>178825.35</v>
      </c>
      <c r="CL59" s="25">
        <f t="shared" si="52"/>
        <v>179003.74</v>
      </c>
      <c r="CM59" s="25">
        <f t="shared" si="52"/>
        <v>179461.52999999997</v>
      </c>
      <c r="CN59" s="25">
        <f t="shared" si="52"/>
        <v>179997.11</v>
      </c>
      <c r="CO59" s="25">
        <f t="shared" si="52"/>
        <v>180642.72</v>
      </c>
      <c r="CP59" s="25">
        <f t="shared" si="52"/>
        <v>181215.41999999998</v>
      </c>
      <c r="CQ59" s="25">
        <f t="shared" si="52"/>
        <v>181531.13</v>
      </c>
      <c r="CR59" s="25">
        <f t="shared" si="52"/>
        <v>181687.45</v>
      </c>
      <c r="CT59">
        <v>2029</v>
      </c>
    </row>
    <row r="60" spans="54:98" x14ac:dyDescent="0.25">
      <c r="BB60" s="54" t="s">
        <v>126</v>
      </c>
      <c r="BD60" s="25">
        <f>SUM(BD34:BD36)</f>
        <v>87187.64</v>
      </c>
      <c r="BE60" s="25">
        <f t="shared" ref="BE60:CR60" si="53">SUM(BE34:BE36)</f>
        <v>87350.99</v>
      </c>
      <c r="BF60" s="25">
        <f t="shared" si="53"/>
        <v>87465.31</v>
      </c>
      <c r="BG60" s="25">
        <f t="shared" si="53"/>
        <v>87263.42</v>
      </c>
      <c r="BH60" s="25">
        <f t="shared" si="53"/>
        <v>87947.359999999986</v>
      </c>
      <c r="BI60" s="25">
        <f t="shared" si="53"/>
        <v>88949.49</v>
      </c>
      <c r="BJ60" s="25">
        <f t="shared" si="53"/>
        <v>90137.78</v>
      </c>
      <c r="BK60" s="25">
        <f t="shared" si="53"/>
        <v>91441.39</v>
      </c>
      <c r="BL60" s="25">
        <f t="shared" si="53"/>
        <v>92938.049999999988</v>
      </c>
      <c r="BM60" s="25">
        <f t="shared" si="53"/>
        <v>94573.87000000001</v>
      </c>
      <c r="BN60" s="25">
        <f t="shared" si="53"/>
        <v>96676.08</v>
      </c>
      <c r="BO60" s="25">
        <f t="shared" si="53"/>
        <v>97858.420000000013</v>
      </c>
      <c r="BP60" s="25">
        <f t="shared" si="53"/>
        <v>99386.84</v>
      </c>
      <c r="BQ60" s="25">
        <f t="shared" si="53"/>
        <v>101347.01999999999</v>
      </c>
      <c r="BR60" s="25">
        <f t="shared" si="53"/>
        <v>103156.33999999998</v>
      </c>
      <c r="BS60" s="25">
        <f t="shared" si="53"/>
        <v>105239.59</v>
      </c>
      <c r="BT60" s="25">
        <f t="shared" si="53"/>
        <v>107080.37000000001</v>
      </c>
      <c r="BU60" s="25">
        <f t="shared" si="53"/>
        <v>108847.76999999999</v>
      </c>
      <c r="BV60" s="25">
        <f t="shared" si="53"/>
        <v>110487.12</v>
      </c>
      <c r="BW60" s="25">
        <f t="shared" si="53"/>
        <v>112198.98999999999</v>
      </c>
      <c r="BX60" s="25">
        <f t="shared" si="53"/>
        <v>113883.16999999998</v>
      </c>
      <c r="BY60" s="25">
        <f t="shared" si="53"/>
        <v>115013.97</v>
      </c>
      <c r="BZ60" s="25">
        <f t="shared" si="53"/>
        <v>115587.42000000001</v>
      </c>
      <c r="CA60" s="25">
        <f t="shared" si="53"/>
        <v>115843.37999999999</v>
      </c>
      <c r="CB60" s="25">
        <f t="shared" si="53"/>
        <v>115942.73000000001</v>
      </c>
      <c r="CC60" s="25">
        <f t="shared" si="53"/>
        <v>115924.76000000001</v>
      </c>
      <c r="CD60" s="25">
        <f t="shared" si="53"/>
        <v>115278.91</v>
      </c>
      <c r="CE60" s="25">
        <f t="shared" si="53"/>
        <v>114690.03</v>
      </c>
      <c r="CF60" s="25">
        <f t="shared" si="53"/>
        <v>114695.02</v>
      </c>
      <c r="CG60" s="25">
        <f t="shared" si="53"/>
        <v>115156.22</v>
      </c>
      <c r="CH60" s="25">
        <f t="shared" si="53"/>
        <v>115423.93</v>
      </c>
      <c r="CI60" s="25">
        <f t="shared" si="53"/>
        <v>115540.87</v>
      </c>
      <c r="CJ60" s="25">
        <f t="shared" si="53"/>
        <v>115747.58</v>
      </c>
      <c r="CK60" s="25">
        <f t="shared" si="53"/>
        <v>115832.6</v>
      </c>
      <c r="CL60" s="25">
        <f t="shared" si="53"/>
        <v>116172.04999999999</v>
      </c>
      <c r="CM60" s="25">
        <f t="shared" si="53"/>
        <v>116492.63</v>
      </c>
      <c r="CN60" s="25">
        <f t="shared" si="53"/>
        <v>116953.94</v>
      </c>
      <c r="CO60" s="25">
        <f t="shared" si="53"/>
        <v>117808.48</v>
      </c>
      <c r="CP60" s="25">
        <f t="shared" si="53"/>
        <v>118936.19</v>
      </c>
      <c r="CQ60" s="25">
        <f t="shared" si="53"/>
        <v>120311.72</v>
      </c>
      <c r="CR60" s="25">
        <f t="shared" si="53"/>
        <v>122056.06</v>
      </c>
      <c r="CT60">
        <v>2030</v>
      </c>
    </row>
    <row r="61" spans="54:98" x14ac:dyDescent="0.25">
      <c r="BB61" s="54" t="s">
        <v>127</v>
      </c>
      <c r="BD61" s="25">
        <f>SUM(BD37:BD42)</f>
        <v>97169.622000000003</v>
      </c>
      <c r="BE61" s="25">
        <f t="shared" ref="BE61:CR61" si="54">SUM(BE37:BE42)</f>
        <v>96624.066000000006</v>
      </c>
      <c r="BF61" s="25">
        <f t="shared" si="54"/>
        <v>95613.008000000002</v>
      </c>
      <c r="BG61" s="25">
        <f t="shared" si="54"/>
        <v>94666.781000000003</v>
      </c>
      <c r="BH61" s="25">
        <f t="shared" si="54"/>
        <v>93874.580999999991</v>
      </c>
      <c r="BI61" s="25">
        <f t="shared" si="54"/>
        <v>92736.917000000001</v>
      </c>
      <c r="BJ61" s="25">
        <f t="shared" si="54"/>
        <v>92187.455999999991</v>
      </c>
      <c r="BK61" s="25">
        <f t="shared" si="54"/>
        <v>92059.523000000001</v>
      </c>
      <c r="BL61" s="25">
        <f t="shared" si="54"/>
        <v>92325.388000000006</v>
      </c>
      <c r="BM61" s="25">
        <f t="shared" si="54"/>
        <v>92509.637999999992</v>
      </c>
      <c r="BN61" s="25">
        <f t="shared" si="54"/>
        <v>93755.034</v>
      </c>
      <c r="BO61" s="25">
        <f t="shared" si="54"/>
        <v>95010.911999999997</v>
      </c>
      <c r="BP61" s="25">
        <f t="shared" si="54"/>
        <v>95765.638999999996</v>
      </c>
      <c r="BQ61" s="25">
        <f t="shared" si="54"/>
        <v>96448.79800000001</v>
      </c>
      <c r="BR61" s="25">
        <f t="shared" si="54"/>
        <v>96894.156000000003</v>
      </c>
      <c r="BS61" s="25">
        <f t="shared" si="54"/>
        <v>97184.242999999988</v>
      </c>
      <c r="BT61" s="25">
        <f t="shared" si="54"/>
        <v>97702.531999999992</v>
      </c>
      <c r="BU61" s="25">
        <f t="shared" si="54"/>
        <v>98570.811000000016</v>
      </c>
      <c r="BV61" s="25">
        <f t="shared" si="54"/>
        <v>99360.839999999982</v>
      </c>
      <c r="BW61" s="25">
        <f t="shared" si="54"/>
        <v>100138.727</v>
      </c>
      <c r="BX61" s="25">
        <f t="shared" si="54"/>
        <v>100846.114</v>
      </c>
      <c r="BY61" s="25">
        <f t="shared" si="54"/>
        <v>102188.90399999999</v>
      </c>
      <c r="BZ61" s="25">
        <f t="shared" si="54"/>
        <v>103762.84600000001</v>
      </c>
      <c r="CA61" s="25">
        <f t="shared" si="54"/>
        <v>105338.93800000001</v>
      </c>
      <c r="CB61" s="25">
        <f t="shared" si="54"/>
        <v>107076.44600000001</v>
      </c>
      <c r="CC61" s="25">
        <f t="shared" si="54"/>
        <v>108885.878</v>
      </c>
      <c r="CD61" s="25">
        <f t="shared" si="54"/>
        <v>111238.322</v>
      </c>
      <c r="CE61" s="25">
        <f t="shared" si="54"/>
        <v>113600.511</v>
      </c>
      <c r="CF61" s="25">
        <f t="shared" si="54"/>
        <v>115874.054</v>
      </c>
      <c r="CG61" s="25">
        <f t="shared" si="54"/>
        <v>118224.56399999998</v>
      </c>
      <c r="CH61" s="25">
        <f t="shared" si="54"/>
        <v>120535.647</v>
      </c>
      <c r="CI61" s="25">
        <f t="shared" si="54"/>
        <v>122875.50900000001</v>
      </c>
      <c r="CJ61" s="25">
        <f t="shared" si="54"/>
        <v>125287.71800000001</v>
      </c>
      <c r="CK61" s="25">
        <f t="shared" si="54"/>
        <v>127565.761</v>
      </c>
      <c r="CL61" s="25">
        <f t="shared" si="54"/>
        <v>129823.93000000001</v>
      </c>
      <c r="CM61" s="25">
        <f t="shared" si="54"/>
        <v>132036.66899999999</v>
      </c>
      <c r="CN61" s="25">
        <f t="shared" si="54"/>
        <v>134144.34099999999</v>
      </c>
      <c r="CO61" s="25">
        <f t="shared" si="54"/>
        <v>135948.24600000001</v>
      </c>
      <c r="CP61" s="25">
        <f t="shared" si="54"/>
        <v>137506.755</v>
      </c>
      <c r="CQ61" s="25">
        <f t="shared" si="54"/>
        <v>138993.95699999999</v>
      </c>
      <c r="CR61" s="25">
        <f t="shared" si="54"/>
        <v>140432.80100000001</v>
      </c>
      <c r="CT61">
        <v>2031</v>
      </c>
    </row>
    <row r="62" spans="54:98" x14ac:dyDescent="0.25">
      <c r="BB62" s="54"/>
      <c r="CT62">
        <v>2032</v>
      </c>
    </row>
    <row r="63" spans="54:98" x14ac:dyDescent="0.25">
      <c r="BB63" s="1" t="s">
        <v>146</v>
      </c>
      <c r="CT63">
        <v>2033</v>
      </c>
    </row>
    <row r="64" spans="54:98" x14ac:dyDescent="0.25">
      <c r="BB64" s="53" t="s">
        <v>98</v>
      </c>
      <c r="BC64" s="1" t="s">
        <v>99</v>
      </c>
      <c r="BD64" s="1">
        <v>2001</v>
      </c>
      <c r="BE64" s="1">
        <v>2002</v>
      </c>
      <c r="BF64" s="1">
        <v>2003</v>
      </c>
      <c r="BG64" s="1">
        <v>2004</v>
      </c>
      <c r="BH64" s="1">
        <v>2005</v>
      </c>
      <c r="BI64" s="1">
        <v>2006</v>
      </c>
      <c r="BJ64" s="1">
        <v>2007</v>
      </c>
      <c r="BK64" s="1">
        <v>2008</v>
      </c>
      <c r="BL64" s="1">
        <v>2009</v>
      </c>
      <c r="BM64" s="1">
        <v>2010</v>
      </c>
      <c r="BN64" s="1">
        <v>2011</v>
      </c>
      <c r="BO64" s="1">
        <v>2012</v>
      </c>
      <c r="BP64" s="1">
        <v>2013</v>
      </c>
      <c r="BQ64" s="1">
        <v>2014</v>
      </c>
      <c r="BR64" s="1">
        <v>2015</v>
      </c>
      <c r="BS64" s="1">
        <v>2016</v>
      </c>
      <c r="BT64" s="1">
        <v>2017</v>
      </c>
      <c r="BU64" s="1">
        <v>2018</v>
      </c>
      <c r="BV64" s="1">
        <v>2019</v>
      </c>
      <c r="BW64" s="1">
        <v>2020</v>
      </c>
      <c r="BX64" s="1">
        <v>2021</v>
      </c>
      <c r="BY64" s="1">
        <v>2022</v>
      </c>
      <c r="BZ64" s="1">
        <v>2023</v>
      </c>
      <c r="CA64" s="1">
        <v>2024</v>
      </c>
      <c r="CB64" s="1">
        <v>2025</v>
      </c>
      <c r="CC64" s="1">
        <v>2026</v>
      </c>
      <c r="CD64" s="1">
        <v>2027</v>
      </c>
      <c r="CE64" s="1">
        <v>2028</v>
      </c>
      <c r="CF64" s="1">
        <v>2029</v>
      </c>
      <c r="CG64" s="1">
        <v>2030</v>
      </c>
      <c r="CH64" s="1">
        <v>2031</v>
      </c>
      <c r="CI64" s="1">
        <v>2032</v>
      </c>
      <c r="CJ64" s="1">
        <v>2033</v>
      </c>
      <c r="CK64" s="1">
        <v>2034</v>
      </c>
      <c r="CL64" s="1">
        <v>2035</v>
      </c>
      <c r="CM64" s="1">
        <v>2036</v>
      </c>
      <c r="CN64" s="1">
        <v>2037</v>
      </c>
      <c r="CO64" s="1">
        <v>2038</v>
      </c>
      <c r="CP64" s="1">
        <v>2039</v>
      </c>
      <c r="CQ64" s="1">
        <v>2040</v>
      </c>
      <c r="CR64" s="1">
        <v>2041</v>
      </c>
      <c r="CT64">
        <v>2034</v>
      </c>
    </row>
    <row r="65" spans="54:98" x14ac:dyDescent="0.25">
      <c r="BB65" s="54" t="s">
        <v>100</v>
      </c>
      <c r="BC65" s="13" t="s">
        <v>128</v>
      </c>
      <c r="BD65" s="14">
        <v>2173.6709999999998</v>
      </c>
      <c r="BE65" s="14">
        <v>2014.4670000000001</v>
      </c>
      <c r="BF65" s="14">
        <v>1879.01</v>
      </c>
      <c r="BG65" s="14">
        <v>1712.3030000000001</v>
      </c>
      <c r="BH65" s="14">
        <v>1531.3130000000001</v>
      </c>
      <c r="BI65" s="14">
        <v>1381.4760000000001</v>
      </c>
      <c r="BJ65" s="14">
        <v>1261.143</v>
      </c>
      <c r="BK65" s="14">
        <v>1152.971</v>
      </c>
      <c r="BL65" s="14">
        <v>1061.1420000000001</v>
      </c>
      <c r="BM65" s="14">
        <v>977.35299999999995</v>
      </c>
      <c r="BN65" s="14">
        <v>846.072</v>
      </c>
      <c r="BO65" s="14">
        <v>747.70799999999997</v>
      </c>
      <c r="BP65" s="14">
        <v>673.29100000000005</v>
      </c>
      <c r="BQ65" s="14">
        <v>601.93799999999999</v>
      </c>
      <c r="BR65" s="14">
        <v>545.95799999999997</v>
      </c>
      <c r="BS65" s="14">
        <v>486.33</v>
      </c>
      <c r="BT65" s="14">
        <v>421.89100000000002</v>
      </c>
      <c r="BU65" s="14">
        <v>366.00299999999999</v>
      </c>
      <c r="BV65" s="14">
        <v>319.29500000000002</v>
      </c>
      <c r="BW65" s="14">
        <v>281.76900000000001</v>
      </c>
      <c r="BX65" s="14">
        <v>251.245</v>
      </c>
      <c r="BY65" s="14">
        <v>257.88099999999997</v>
      </c>
      <c r="BZ65" s="14">
        <v>264.14800000000002</v>
      </c>
      <c r="CA65" s="14">
        <v>270.053</v>
      </c>
      <c r="CB65" s="14">
        <v>274.71800000000002</v>
      </c>
      <c r="CC65" s="14">
        <v>276.33</v>
      </c>
      <c r="CD65" s="14">
        <v>277.75599999999997</v>
      </c>
      <c r="CE65" s="14">
        <v>281.791</v>
      </c>
      <c r="CF65" s="14">
        <v>285.21800000000002</v>
      </c>
      <c r="CG65" s="14">
        <v>288.76400000000001</v>
      </c>
      <c r="CH65" s="14">
        <v>289.80900000000003</v>
      </c>
      <c r="CI65" s="14">
        <v>287.80700000000002</v>
      </c>
      <c r="CJ65" s="14">
        <v>284.767</v>
      </c>
      <c r="CK65" s="14">
        <v>283.98700000000002</v>
      </c>
      <c r="CL65" s="14">
        <v>284.15499999999997</v>
      </c>
      <c r="CM65" s="14">
        <v>283.16899999999998</v>
      </c>
      <c r="CN65" s="14">
        <v>284.56099999999998</v>
      </c>
      <c r="CO65" s="14">
        <v>284.86399999999998</v>
      </c>
      <c r="CP65" s="14">
        <v>285.26299999999998</v>
      </c>
      <c r="CQ65" s="14">
        <v>285.72199999999998</v>
      </c>
      <c r="CR65" s="14">
        <v>286.05599999999998</v>
      </c>
      <c r="CT65">
        <v>2035</v>
      </c>
    </row>
    <row r="66" spans="54:98" x14ac:dyDescent="0.25">
      <c r="BB66" s="54" t="s">
        <v>101</v>
      </c>
      <c r="BC66" s="13" t="s">
        <v>128</v>
      </c>
      <c r="BD66" s="14">
        <v>10033.33</v>
      </c>
      <c r="BE66" s="14">
        <v>10150.299999999999</v>
      </c>
      <c r="BF66" s="14">
        <v>10379.14</v>
      </c>
      <c r="BG66" s="14">
        <v>10771.97</v>
      </c>
      <c r="BH66" s="14">
        <v>11019.89</v>
      </c>
      <c r="BI66" s="14">
        <v>10722.46</v>
      </c>
      <c r="BJ66" s="14">
        <v>10448.25</v>
      </c>
      <c r="BK66" s="14">
        <v>9976.4750000000004</v>
      </c>
      <c r="BL66" s="14">
        <v>9404.1290000000008</v>
      </c>
      <c r="BM66" s="14">
        <v>9206.9380000000001</v>
      </c>
      <c r="BN66" s="14">
        <v>9114.4480000000003</v>
      </c>
      <c r="BO66" s="14">
        <v>9225.0779999999995</v>
      </c>
      <c r="BP66" s="14">
        <v>8988.8729999999996</v>
      </c>
      <c r="BQ66" s="14">
        <v>8907.6509999999998</v>
      </c>
      <c r="BR66" s="14">
        <v>8803.4279999999999</v>
      </c>
      <c r="BS66" s="14">
        <v>8778.8119999999999</v>
      </c>
      <c r="BT66" s="14">
        <v>8591.3559999999998</v>
      </c>
      <c r="BU66" s="14">
        <v>8378.6049999999996</v>
      </c>
      <c r="BV66" s="14">
        <v>8102.1480000000001</v>
      </c>
      <c r="BW66" s="14">
        <v>7818.5010000000002</v>
      </c>
      <c r="BX66" s="14">
        <v>7464.86</v>
      </c>
      <c r="BY66" s="14">
        <v>7314.8490000000002</v>
      </c>
      <c r="BZ66" s="14">
        <v>7233.0379999999996</v>
      </c>
      <c r="CA66" s="14">
        <v>7200.2730000000001</v>
      </c>
      <c r="CB66" s="14">
        <v>7241.61</v>
      </c>
      <c r="CC66" s="14">
        <v>7368.4359999999997</v>
      </c>
      <c r="CD66" s="14">
        <v>7561.799</v>
      </c>
      <c r="CE66" s="14">
        <v>7755.0379999999996</v>
      </c>
      <c r="CF66" s="14">
        <v>7914.1589999999997</v>
      </c>
      <c r="CG66" s="14">
        <v>8033.7489999999998</v>
      </c>
      <c r="CH66" s="14">
        <v>8140.0630000000001</v>
      </c>
      <c r="CI66" s="14">
        <v>8284.6090000000004</v>
      </c>
      <c r="CJ66" s="14">
        <v>8352.8169999999991</v>
      </c>
      <c r="CK66" s="14">
        <v>8396.2549999999992</v>
      </c>
      <c r="CL66" s="14">
        <v>8419.3240000000005</v>
      </c>
      <c r="CM66" s="14">
        <v>8424.3850000000002</v>
      </c>
      <c r="CN66" s="14">
        <v>8326.7250000000004</v>
      </c>
      <c r="CO66" s="14">
        <v>8287.5059999999994</v>
      </c>
      <c r="CP66" s="14">
        <v>8272.7569999999996</v>
      </c>
      <c r="CQ66" s="14">
        <v>8268.92</v>
      </c>
      <c r="CR66" s="14">
        <v>8255.2180000000008</v>
      </c>
      <c r="CT66">
        <v>2036</v>
      </c>
    </row>
    <row r="67" spans="54:98" x14ac:dyDescent="0.25">
      <c r="BB67" s="54" t="s">
        <v>102</v>
      </c>
      <c r="BC67" s="13" t="s">
        <v>128</v>
      </c>
      <c r="BD67" s="14">
        <v>17849.38</v>
      </c>
      <c r="BE67" s="14">
        <v>17273.5</v>
      </c>
      <c r="BF67" s="14">
        <v>16821</v>
      </c>
      <c r="BG67" s="14">
        <v>16668.490000000002</v>
      </c>
      <c r="BH67" s="14">
        <v>17294.61</v>
      </c>
      <c r="BI67" s="14">
        <v>17609.54</v>
      </c>
      <c r="BJ67" s="14">
        <v>18066.71</v>
      </c>
      <c r="BK67" s="14">
        <v>18511.310000000001</v>
      </c>
      <c r="BL67" s="14">
        <v>18290.009999999998</v>
      </c>
      <c r="BM67" s="14">
        <v>18002.099999999999</v>
      </c>
      <c r="BN67" s="14">
        <v>17646.53</v>
      </c>
      <c r="BO67" s="14">
        <v>17329.849999999999</v>
      </c>
      <c r="BP67" s="14">
        <v>16945.97</v>
      </c>
      <c r="BQ67" s="14">
        <v>16784.71</v>
      </c>
      <c r="BR67" s="14">
        <v>16785.25</v>
      </c>
      <c r="BS67" s="14">
        <v>17279.72</v>
      </c>
      <c r="BT67" s="14">
        <v>17458.03</v>
      </c>
      <c r="BU67" s="14">
        <v>17507.02</v>
      </c>
      <c r="BV67" s="14">
        <v>17532.07</v>
      </c>
      <c r="BW67" s="14">
        <v>17262.580000000002</v>
      </c>
      <c r="BX67" s="14">
        <v>16872.39</v>
      </c>
      <c r="BY67" s="14">
        <v>16901.82</v>
      </c>
      <c r="BZ67" s="14">
        <v>16887.14</v>
      </c>
      <c r="CA67" s="14">
        <v>16772.96</v>
      </c>
      <c r="CB67" s="14">
        <v>16651.55</v>
      </c>
      <c r="CC67" s="14">
        <v>16398.61</v>
      </c>
      <c r="CD67" s="14">
        <v>16074.16</v>
      </c>
      <c r="CE67" s="14">
        <v>15897.87</v>
      </c>
      <c r="CF67" s="14">
        <v>15829.29</v>
      </c>
      <c r="CG67" s="14">
        <v>15908.14</v>
      </c>
      <c r="CH67" s="14">
        <v>16173.95</v>
      </c>
      <c r="CI67" s="14">
        <v>16570.919999999998</v>
      </c>
      <c r="CJ67" s="14">
        <v>16985.669999999998</v>
      </c>
      <c r="CK67" s="14">
        <v>17318.03</v>
      </c>
      <c r="CL67" s="14">
        <v>17594.09</v>
      </c>
      <c r="CM67" s="14">
        <v>17834.28</v>
      </c>
      <c r="CN67" s="14">
        <v>18128.95</v>
      </c>
      <c r="CO67" s="14">
        <v>18257.18</v>
      </c>
      <c r="CP67" s="14">
        <v>18338.52</v>
      </c>
      <c r="CQ67" s="14">
        <v>18379.599999999999</v>
      </c>
      <c r="CR67" s="14">
        <v>18376.18</v>
      </c>
      <c r="CT67">
        <v>2037</v>
      </c>
    </row>
    <row r="68" spans="54:98" x14ac:dyDescent="0.25">
      <c r="BB68" s="54" t="s">
        <v>103</v>
      </c>
      <c r="BC68" s="13" t="s">
        <v>128</v>
      </c>
      <c r="BD68" s="14">
        <v>26065.919999999998</v>
      </c>
      <c r="BE68" s="14">
        <v>25325.99</v>
      </c>
      <c r="BF68" s="14">
        <v>24560.1</v>
      </c>
      <c r="BG68" s="14">
        <v>23783.89</v>
      </c>
      <c r="BH68" s="14">
        <v>23275.81</v>
      </c>
      <c r="BI68" s="14">
        <v>22572.35</v>
      </c>
      <c r="BJ68" s="14">
        <v>22118.93</v>
      </c>
      <c r="BK68" s="14">
        <v>22055.58</v>
      </c>
      <c r="BL68" s="14">
        <v>22400.67</v>
      </c>
      <c r="BM68" s="14">
        <v>22772.639999999999</v>
      </c>
      <c r="BN68" s="14">
        <v>23140.49</v>
      </c>
      <c r="BO68" s="14">
        <v>23177.79</v>
      </c>
      <c r="BP68" s="14">
        <v>23369.9</v>
      </c>
      <c r="BQ68" s="14">
        <v>23151.99</v>
      </c>
      <c r="BR68" s="14">
        <v>23106.79</v>
      </c>
      <c r="BS68" s="14">
        <v>23055.759999999998</v>
      </c>
      <c r="BT68" s="14">
        <v>22897.81</v>
      </c>
      <c r="BU68" s="14">
        <v>22683.040000000001</v>
      </c>
      <c r="BV68" s="14">
        <v>22749.360000000001</v>
      </c>
      <c r="BW68" s="14">
        <v>22822.92</v>
      </c>
      <c r="BX68" s="14">
        <v>23230.33</v>
      </c>
      <c r="BY68" s="14">
        <v>23788.48</v>
      </c>
      <c r="BZ68" s="14">
        <v>24164.959999999999</v>
      </c>
      <c r="CA68" s="14">
        <v>24521.34</v>
      </c>
      <c r="CB68" s="14">
        <v>24513.62</v>
      </c>
      <c r="CC68" s="14">
        <v>24348.37</v>
      </c>
      <c r="CD68" s="14">
        <v>24335.14</v>
      </c>
      <c r="CE68" s="14">
        <v>24265.360000000001</v>
      </c>
      <c r="CF68" s="14">
        <v>24069.53</v>
      </c>
      <c r="CG68" s="14">
        <v>23865.21</v>
      </c>
      <c r="CH68" s="14">
        <v>23489.93</v>
      </c>
      <c r="CI68" s="14">
        <v>23020.63</v>
      </c>
      <c r="CJ68" s="14">
        <v>22762.74</v>
      </c>
      <c r="CK68" s="14">
        <v>22672.7</v>
      </c>
      <c r="CL68" s="14">
        <v>22788.98</v>
      </c>
      <c r="CM68" s="14">
        <v>23178.78</v>
      </c>
      <c r="CN68" s="14">
        <v>23747.14</v>
      </c>
      <c r="CO68" s="14">
        <v>24357.5</v>
      </c>
      <c r="CP68" s="14">
        <v>24835.9</v>
      </c>
      <c r="CQ68" s="14">
        <v>25249.47</v>
      </c>
      <c r="CR68" s="14">
        <v>25606.560000000001</v>
      </c>
      <c r="CT68">
        <v>2038</v>
      </c>
    </row>
    <row r="69" spans="54:98" x14ac:dyDescent="0.25">
      <c r="BB69" s="54" t="s">
        <v>104</v>
      </c>
      <c r="BC69" s="13" t="s">
        <v>128</v>
      </c>
      <c r="BD69" s="14">
        <v>26625.45</v>
      </c>
      <c r="BE69" s="14">
        <v>27043.439999999999</v>
      </c>
      <c r="BF69" s="14">
        <v>27278.37</v>
      </c>
      <c r="BG69" s="14">
        <v>27211.1</v>
      </c>
      <c r="BH69" s="14">
        <v>27348.54</v>
      </c>
      <c r="BI69" s="14">
        <v>26993.96</v>
      </c>
      <c r="BJ69" s="14">
        <v>26573.81</v>
      </c>
      <c r="BK69" s="14">
        <v>26043.83</v>
      </c>
      <c r="BL69" s="14">
        <v>25605.9</v>
      </c>
      <c r="BM69" s="14">
        <v>25116.240000000002</v>
      </c>
      <c r="BN69" s="14">
        <v>24959.4</v>
      </c>
      <c r="BO69" s="14">
        <v>24611.96</v>
      </c>
      <c r="BP69" s="14">
        <v>24137.54</v>
      </c>
      <c r="BQ69" s="14">
        <v>24144.400000000001</v>
      </c>
      <c r="BR69" s="14">
        <v>24447.46</v>
      </c>
      <c r="BS69" s="14">
        <v>24825.84</v>
      </c>
      <c r="BT69" s="14">
        <v>25113.17</v>
      </c>
      <c r="BU69" s="14">
        <v>25575.54</v>
      </c>
      <c r="BV69" s="14">
        <v>25498.42</v>
      </c>
      <c r="BW69" s="14">
        <v>25469.59</v>
      </c>
      <c r="BX69" s="14">
        <v>25365.47</v>
      </c>
      <c r="BY69" s="14">
        <v>25469.43</v>
      </c>
      <c r="BZ69" s="14">
        <v>25550.15</v>
      </c>
      <c r="CA69" s="14">
        <v>25902.94</v>
      </c>
      <c r="CB69" s="14">
        <v>26259.62</v>
      </c>
      <c r="CC69" s="14">
        <v>26978.84</v>
      </c>
      <c r="CD69" s="14">
        <v>27570.01</v>
      </c>
      <c r="CE69" s="14">
        <v>27946.22</v>
      </c>
      <c r="CF69" s="14">
        <v>28298.04</v>
      </c>
      <c r="CG69" s="14">
        <v>28250.560000000001</v>
      </c>
      <c r="CH69" s="14">
        <v>28018.400000000001</v>
      </c>
      <c r="CI69" s="14">
        <v>27970.53</v>
      </c>
      <c r="CJ69" s="14">
        <v>27855.29</v>
      </c>
      <c r="CK69" s="14">
        <v>27603</v>
      </c>
      <c r="CL69" s="14">
        <v>27347.41</v>
      </c>
      <c r="CM69" s="14">
        <v>26905.06</v>
      </c>
      <c r="CN69" s="14">
        <v>26357.58</v>
      </c>
      <c r="CO69" s="14">
        <v>26051.66</v>
      </c>
      <c r="CP69" s="14">
        <v>25946.41</v>
      </c>
      <c r="CQ69" s="14">
        <v>26078.59</v>
      </c>
      <c r="CR69" s="14">
        <v>26533.46</v>
      </c>
      <c r="CT69">
        <v>2039</v>
      </c>
    </row>
    <row r="70" spans="54:98" x14ac:dyDescent="0.25">
      <c r="BB70" s="54" t="s">
        <v>105</v>
      </c>
      <c r="BC70" s="13" t="s">
        <v>128</v>
      </c>
      <c r="BD70" s="14">
        <v>24345.1</v>
      </c>
      <c r="BE70" s="14">
        <v>24594.73</v>
      </c>
      <c r="BF70" s="14">
        <v>24855.39</v>
      </c>
      <c r="BG70" s="14">
        <v>25063.02</v>
      </c>
      <c r="BH70" s="14">
        <v>25612.41</v>
      </c>
      <c r="BI70" s="14">
        <v>25929.62</v>
      </c>
      <c r="BJ70" s="14">
        <v>26238.959999999999</v>
      </c>
      <c r="BK70" s="14">
        <v>26494.54</v>
      </c>
      <c r="BL70" s="14">
        <v>26657.89</v>
      </c>
      <c r="BM70" s="14">
        <v>26578.61</v>
      </c>
      <c r="BN70" s="14">
        <v>26416.45</v>
      </c>
      <c r="BO70" s="14">
        <v>26195.25</v>
      </c>
      <c r="BP70" s="14">
        <v>25829.63</v>
      </c>
      <c r="BQ70" s="14">
        <v>25352.41</v>
      </c>
      <c r="BR70" s="14">
        <v>24809.05</v>
      </c>
      <c r="BS70" s="14">
        <v>24628.58</v>
      </c>
      <c r="BT70" s="14">
        <v>24121.67</v>
      </c>
      <c r="BU70" s="14">
        <v>23766.880000000001</v>
      </c>
      <c r="BV70" s="14">
        <v>23895.59</v>
      </c>
      <c r="BW70" s="14">
        <v>24249.83</v>
      </c>
      <c r="BX70" s="14">
        <v>24583.59</v>
      </c>
      <c r="BY70" s="14">
        <v>25060.16</v>
      </c>
      <c r="BZ70" s="14">
        <v>25686.16</v>
      </c>
      <c r="CA70" s="14">
        <v>25807.4</v>
      </c>
      <c r="CB70" s="14">
        <v>25971.61</v>
      </c>
      <c r="CC70" s="14">
        <v>26075.040000000001</v>
      </c>
      <c r="CD70" s="14">
        <v>26180.52</v>
      </c>
      <c r="CE70" s="14">
        <v>26292.92</v>
      </c>
      <c r="CF70" s="14">
        <v>26653.45</v>
      </c>
      <c r="CG70" s="14">
        <v>27011.65</v>
      </c>
      <c r="CH70" s="14">
        <v>27715.68</v>
      </c>
      <c r="CI70" s="14">
        <v>28290.48</v>
      </c>
      <c r="CJ70" s="14">
        <v>28636.29</v>
      </c>
      <c r="CK70" s="14">
        <v>28958.38</v>
      </c>
      <c r="CL70" s="14">
        <v>28884.45</v>
      </c>
      <c r="CM70" s="14">
        <v>28625.07</v>
      </c>
      <c r="CN70" s="14">
        <v>28557.39</v>
      </c>
      <c r="CO70" s="14">
        <v>28417.87</v>
      </c>
      <c r="CP70" s="14">
        <v>28144.23</v>
      </c>
      <c r="CQ70" s="14">
        <v>27869.24</v>
      </c>
      <c r="CR70" s="14">
        <v>27409.64</v>
      </c>
      <c r="CT70">
        <v>2040</v>
      </c>
    </row>
    <row r="71" spans="54:98" x14ac:dyDescent="0.25">
      <c r="BB71" s="54" t="s">
        <v>106</v>
      </c>
      <c r="BC71" s="13" t="s">
        <v>128</v>
      </c>
      <c r="BD71" s="14">
        <v>21683.09</v>
      </c>
      <c r="BE71" s="14">
        <v>21717.7</v>
      </c>
      <c r="BF71" s="14">
        <v>21976.41</v>
      </c>
      <c r="BG71" s="14">
        <v>22312.82</v>
      </c>
      <c r="BH71" s="14">
        <v>22739.91</v>
      </c>
      <c r="BI71" s="14">
        <v>23239.68</v>
      </c>
      <c r="BJ71" s="14">
        <v>23590.73</v>
      </c>
      <c r="BK71" s="14">
        <v>23990.400000000001</v>
      </c>
      <c r="BL71" s="14">
        <v>24554.560000000001</v>
      </c>
      <c r="BM71" s="14">
        <v>25137.95</v>
      </c>
      <c r="BN71" s="14">
        <v>25451.03</v>
      </c>
      <c r="BO71" s="14">
        <v>25423.040000000001</v>
      </c>
      <c r="BP71" s="14">
        <v>25390.66</v>
      </c>
      <c r="BQ71" s="14">
        <v>25441.3</v>
      </c>
      <c r="BR71" s="14">
        <v>25389.33</v>
      </c>
      <c r="BS71" s="14">
        <v>25368.75</v>
      </c>
      <c r="BT71" s="14">
        <v>25294.73</v>
      </c>
      <c r="BU71" s="14">
        <v>24884.66</v>
      </c>
      <c r="BV71" s="14">
        <v>24477.47</v>
      </c>
      <c r="BW71" s="14">
        <v>24037.02</v>
      </c>
      <c r="BX71" s="14">
        <v>23632.06</v>
      </c>
      <c r="BY71" s="14">
        <v>23222.94</v>
      </c>
      <c r="BZ71" s="14">
        <v>22975.16</v>
      </c>
      <c r="CA71" s="14">
        <v>23193.56</v>
      </c>
      <c r="CB71" s="14">
        <v>23657.14</v>
      </c>
      <c r="CC71" s="14">
        <v>24114.38</v>
      </c>
      <c r="CD71" s="14">
        <v>24591.54</v>
      </c>
      <c r="CE71" s="14">
        <v>25198.92</v>
      </c>
      <c r="CF71" s="14">
        <v>25331.919999999998</v>
      </c>
      <c r="CG71" s="14">
        <v>25497.02</v>
      </c>
      <c r="CH71" s="14">
        <v>25610.91</v>
      </c>
      <c r="CI71" s="14">
        <v>25717.38</v>
      </c>
      <c r="CJ71" s="14">
        <v>25844.86</v>
      </c>
      <c r="CK71" s="14">
        <v>26193.53</v>
      </c>
      <c r="CL71" s="14">
        <v>26534.53</v>
      </c>
      <c r="CM71" s="14">
        <v>27197.27</v>
      </c>
      <c r="CN71" s="14">
        <v>27740.27</v>
      </c>
      <c r="CO71" s="14">
        <v>28056.92</v>
      </c>
      <c r="CP71" s="14">
        <v>28350.3</v>
      </c>
      <c r="CQ71" s="14">
        <v>28264.63</v>
      </c>
      <c r="CR71" s="14">
        <v>28001.65</v>
      </c>
      <c r="CT71">
        <v>2041</v>
      </c>
    </row>
    <row r="72" spans="54:98" x14ac:dyDescent="0.25">
      <c r="BB72" s="54" t="s">
        <v>107</v>
      </c>
      <c r="BC72" s="13" t="s">
        <v>128</v>
      </c>
      <c r="BD72" s="14">
        <v>21300.61</v>
      </c>
      <c r="BE72" s="14">
        <v>20783.28</v>
      </c>
      <c r="BF72" s="14">
        <v>20443.04</v>
      </c>
      <c r="BG72" s="14">
        <v>20228.689999999999</v>
      </c>
      <c r="BH72" s="14">
        <v>20222</v>
      </c>
      <c r="BI72" s="14">
        <v>20369.060000000001</v>
      </c>
      <c r="BJ72" s="14">
        <v>20587.29</v>
      </c>
      <c r="BK72" s="14">
        <v>20980.76</v>
      </c>
      <c r="BL72" s="14">
        <v>21352.6</v>
      </c>
      <c r="BM72" s="14">
        <v>21647.200000000001</v>
      </c>
      <c r="BN72" s="14">
        <v>22096.83</v>
      </c>
      <c r="BO72" s="14">
        <v>22705.88</v>
      </c>
      <c r="BP72" s="14">
        <v>23119.279999999999</v>
      </c>
      <c r="BQ72" s="14">
        <v>23556.42</v>
      </c>
      <c r="BR72" s="14">
        <v>23960.16</v>
      </c>
      <c r="BS72" s="14">
        <v>24252.959999999999</v>
      </c>
      <c r="BT72" s="14">
        <v>24220.09</v>
      </c>
      <c r="BU72" s="14">
        <v>24256.97</v>
      </c>
      <c r="BV72" s="14">
        <v>24324.67</v>
      </c>
      <c r="BW72" s="14">
        <v>24355.91</v>
      </c>
      <c r="BX72" s="14">
        <v>24277.77</v>
      </c>
      <c r="BY72" s="14">
        <v>24296.73</v>
      </c>
      <c r="BZ72" s="14">
        <v>24001.15</v>
      </c>
      <c r="CA72" s="14">
        <v>23693.23</v>
      </c>
      <c r="CB72" s="14">
        <v>23347.73</v>
      </c>
      <c r="CC72" s="14">
        <v>23025.3</v>
      </c>
      <c r="CD72" s="14">
        <v>22608.880000000001</v>
      </c>
      <c r="CE72" s="14">
        <v>22364.26</v>
      </c>
      <c r="CF72" s="14">
        <v>22572.31</v>
      </c>
      <c r="CG72" s="14">
        <v>23031.82</v>
      </c>
      <c r="CH72" s="14">
        <v>23486.48</v>
      </c>
      <c r="CI72" s="14">
        <v>23960.51</v>
      </c>
      <c r="CJ72" s="14">
        <v>24551.45</v>
      </c>
      <c r="CK72" s="14">
        <v>24693.15</v>
      </c>
      <c r="CL72" s="14">
        <v>24859.279999999999</v>
      </c>
      <c r="CM72" s="14">
        <v>24980.63</v>
      </c>
      <c r="CN72" s="14">
        <v>25090.04</v>
      </c>
      <c r="CO72" s="14">
        <v>25228.12</v>
      </c>
      <c r="CP72" s="14">
        <v>25569.49</v>
      </c>
      <c r="CQ72" s="14">
        <v>25898.17</v>
      </c>
      <c r="CR72" s="14">
        <v>26526.69</v>
      </c>
    </row>
    <row r="73" spans="54:98" x14ac:dyDescent="0.25">
      <c r="BB73" s="54" t="s">
        <v>108</v>
      </c>
      <c r="BC73" s="13" t="s">
        <v>128</v>
      </c>
      <c r="BD73" s="14">
        <v>17680.59</v>
      </c>
      <c r="BE73" s="14">
        <v>18420.400000000001</v>
      </c>
      <c r="BF73" s="14">
        <v>18698.27</v>
      </c>
      <c r="BG73" s="14">
        <v>18641.8</v>
      </c>
      <c r="BH73" s="14">
        <v>18881.7</v>
      </c>
      <c r="BI73" s="14">
        <v>18921.310000000001</v>
      </c>
      <c r="BJ73" s="14">
        <v>18471.009999999998</v>
      </c>
      <c r="BK73" s="14">
        <v>18463.900000000001</v>
      </c>
      <c r="BL73" s="14">
        <v>18755.73</v>
      </c>
      <c r="BM73" s="14">
        <v>18969.68</v>
      </c>
      <c r="BN73" s="14">
        <v>19315.39</v>
      </c>
      <c r="BO73" s="14">
        <v>19455.509999999998</v>
      </c>
      <c r="BP73" s="14">
        <v>19623.05</v>
      </c>
      <c r="BQ73" s="14">
        <v>19775.87</v>
      </c>
      <c r="BR73" s="14">
        <v>20050.43</v>
      </c>
      <c r="BS73" s="14">
        <v>20497.330000000002</v>
      </c>
      <c r="BT73" s="14">
        <v>21170.59</v>
      </c>
      <c r="BU73" s="14">
        <v>21676.23</v>
      </c>
      <c r="BV73" s="14">
        <v>22117.83</v>
      </c>
      <c r="BW73" s="14">
        <v>22496.21</v>
      </c>
      <c r="BX73" s="14">
        <v>22812.58</v>
      </c>
      <c r="BY73" s="14">
        <v>22873.03</v>
      </c>
      <c r="BZ73" s="14">
        <v>22990.5</v>
      </c>
      <c r="CA73" s="14">
        <v>23130.87</v>
      </c>
      <c r="CB73" s="14">
        <v>23227.61</v>
      </c>
      <c r="CC73" s="14">
        <v>23237.52</v>
      </c>
      <c r="CD73" s="14">
        <v>23254.25</v>
      </c>
      <c r="CE73" s="14">
        <v>22979.31</v>
      </c>
      <c r="CF73" s="14">
        <v>22680.98</v>
      </c>
      <c r="CG73" s="14">
        <v>22345.9</v>
      </c>
      <c r="CH73" s="14">
        <v>22024.54</v>
      </c>
      <c r="CI73" s="14">
        <v>21620.12</v>
      </c>
      <c r="CJ73" s="14">
        <v>21386.58</v>
      </c>
      <c r="CK73" s="14">
        <v>21585.79</v>
      </c>
      <c r="CL73" s="14">
        <v>22033.94</v>
      </c>
      <c r="CM73" s="14">
        <v>22477.73</v>
      </c>
      <c r="CN73" s="14">
        <v>22939.15</v>
      </c>
      <c r="CO73" s="14">
        <v>23504.2</v>
      </c>
      <c r="CP73" s="14">
        <v>23647.96</v>
      </c>
      <c r="CQ73" s="14">
        <v>23813.42</v>
      </c>
      <c r="CR73" s="14">
        <v>23938.9</v>
      </c>
    </row>
    <row r="74" spans="54:98" x14ac:dyDescent="0.25">
      <c r="BB74" s="54" t="s">
        <v>109</v>
      </c>
      <c r="BC74" s="13" t="s">
        <v>128</v>
      </c>
      <c r="BD74" s="14">
        <v>15558.89</v>
      </c>
      <c r="BE74" s="14">
        <v>15174.45</v>
      </c>
      <c r="BF74" s="14">
        <v>15048.18</v>
      </c>
      <c r="BG74" s="14">
        <v>14938.8</v>
      </c>
      <c r="BH74" s="14">
        <v>15017.88</v>
      </c>
      <c r="BI74" s="14">
        <v>15270.33</v>
      </c>
      <c r="BJ74" s="14">
        <v>16016.1</v>
      </c>
      <c r="BK74" s="14">
        <v>16437.37</v>
      </c>
      <c r="BL74" s="14">
        <v>16506.77</v>
      </c>
      <c r="BM74" s="14">
        <v>16790.560000000001</v>
      </c>
      <c r="BN74" s="14">
        <v>16956.97</v>
      </c>
      <c r="BO74" s="14">
        <v>16635.62</v>
      </c>
      <c r="BP74" s="14">
        <v>16781.349999999999</v>
      </c>
      <c r="BQ74" s="14">
        <v>17056.419999999998</v>
      </c>
      <c r="BR74" s="14">
        <v>17179.21</v>
      </c>
      <c r="BS74" s="14">
        <v>17388.62</v>
      </c>
      <c r="BT74" s="14">
        <v>17506.38</v>
      </c>
      <c r="BU74" s="14">
        <v>17722.189999999999</v>
      </c>
      <c r="BV74" s="14">
        <v>17888.310000000001</v>
      </c>
      <c r="BW74" s="14">
        <v>18203.080000000002</v>
      </c>
      <c r="BX74" s="14">
        <v>18628.93</v>
      </c>
      <c r="BY74" s="14">
        <v>19286.48</v>
      </c>
      <c r="BZ74" s="14">
        <v>19797.12</v>
      </c>
      <c r="CA74" s="14">
        <v>20250.990000000002</v>
      </c>
      <c r="CB74" s="14">
        <v>20653.16</v>
      </c>
      <c r="CC74" s="14">
        <v>20990.81</v>
      </c>
      <c r="CD74" s="14">
        <v>21062.959999999999</v>
      </c>
      <c r="CE74" s="14">
        <v>21186.19</v>
      </c>
      <c r="CF74" s="14">
        <v>21323.84</v>
      </c>
      <c r="CG74" s="14">
        <v>21414.14</v>
      </c>
      <c r="CH74" s="14">
        <v>21433.43</v>
      </c>
      <c r="CI74" s="14">
        <v>21454.13</v>
      </c>
      <c r="CJ74" s="14">
        <v>21210.14</v>
      </c>
      <c r="CK74" s="14">
        <v>20935.27</v>
      </c>
      <c r="CL74" s="14">
        <v>20626.599999999999</v>
      </c>
      <c r="CM74" s="14">
        <v>20325.63</v>
      </c>
      <c r="CN74" s="14">
        <v>19953.53</v>
      </c>
      <c r="CO74" s="14">
        <v>19744.060000000001</v>
      </c>
      <c r="CP74" s="14">
        <v>19936.88</v>
      </c>
      <c r="CQ74" s="14">
        <v>20365.310000000001</v>
      </c>
      <c r="CR74" s="14">
        <v>20787.32</v>
      </c>
    </row>
    <row r="75" spans="54:98" x14ac:dyDescent="0.25">
      <c r="BB75" s="54" t="s">
        <v>110</v>
      </c>
      <c r="BC75" s="13" t="s">
        <v>128</v>
      </c>
      <c r="BD75" s="14">
        <v>13889.89</v>
      </c>
      <c r="BE75" s="14">
        <v>13901.12</v>
      </c>
      <c r="BF75" s="14">
        <v>13804.68</v>
      </c>
      <c r="BG75" s="14">
        <v>13774.13</v>
      </c>
      <c r="BH75" s="14">
        <v>13619.83</v>
      </c>
      <c r="BI75" s="14">
        <v>13059.32</v>
      </c>
      <c r="BJ75" s="14">
        <v>12879.41</v>
      </c>
      <c r="BK75" s="14">
        <v>12875.24</v>
      </c>
      <c r="BL75" s="14">
        <v>12983.84</v>
      </c>
      <c r="BM75" s="14">
        <v>13173.87</v>
      </c>
      <c r="BN75" s="14">
        <v>13554.62</v>
      </c>
      <c r="BO75" s="14">
        <v>14238.67</v>
      </c>
      <c r="BP75" s="14">
        <v>14504.82</v>
      </c>
      <c r="BQ75" s="14">
        <v>14441.8</v>
      </c>
      <c r="BR75" s="14">
        <v>14614.57</v>
      </c>
      <c r="BS75" s="14">
        <v>14683.64</v>
      </c>
      <c r="BT75" s="14">
        <v>14427.13</v>
      </c>
      <c r="BU75" s="14">
        <v>14550.1</v>
      </c>
      <c r="BV75" s="14">
        <v>14778.93</v>
      </c>
      <c r="BW75" s="14">
        <v>14879.68</v>
      </c>
      <c r="BX75" s="14">
        <v>15025.24</v>
      </c>
      <c r="BY75" s="14">
        <v>15169.57</v>
      </c>
      <c r="BZ75" s="14">
        <v>15393.1</v>
      </c>
      <c r="CA75" s="14">
        <v>15578.78</v>
      </c>
      <c r="CB75" s="14">
        <v>15887.48</v>
      </c>
      <c r="CC75" s="14">
        <v>16293.28</v>
      </c>
      <c r="CD75" s="14">
        <v>16884.34</v>
      </c>
      <c r="CE75" s="14">
        <v>17350.86</v>
      </c>
      <c r="CF75" s="14">
        <v>17767.240000000002</v>
      </c>
      <c r="CG75" s="14">
        <v>18138.66</v>
      </c>
      <c r="CH75" s="14">
        <v>18448.72</v>
      </c>
      <c r="CI75" s="14">
        <v>18532.16</v>
      </c>
      <c r="CJ75" s="14">
        <v>18658.759999999998</v>
      </c>
      <c r="CK75" s="14">
        <v>18792.439999999999</v>
      </c>
      <c r="CL75" s="14">
        <v>18880.09</v>
      </c>
      <c r="CM75" s="14">
        <v>18910.3</v>
      </c>
      <c r="CN75" s="14">
        <v>18939.48</v>
      </c>
      <c r="CO75" s="14">
        <v>18736.900000000001</v>
      </c>
      <c r="CP75" s="14">
        <v>18501.78</v>
      </c>
      <c r="CQ75" s="14">
        <v>18237.29</v>
      </c>
      <c r="CR75" s="14">
        <v>17976.54</v>
      </c>
    </row>
    <row r="76" spans="54:98" x14ac:dyDescent="0.25">
      <c r="BB76" s="54" t="s">
        <v>111</v>
      </c>
      <c r="BC76" s="13" t="s">
        <v>128</v>
      </c>
      <c r="BD76" s="14">
        <v>11141.95</v>
      </c>
      <c r="BE76" s="14">
        <v>11177.79</v>
      </c>
      <c r="BF76" s="14">
        <v>11177.31</v>
      </c>
      <c r="BG76" s="14">
        <v>11107.18</v>
      </c>
      <c r="BH76" s="14">
        <v>11085.8</v>
      </c>
      <c r="BI76" s="14">
        <v>11125.65</v>
      </c>
      <c r="BJ76" s="14">
        <v>11120.86</v>
      </c>
      <c r="BK76" s="14">
        <v>11190.66</v>
      </c>
      <c r="BL76" s="14">
        <v>11432.87</v>
      </c>
      <c r="BM76" s="14">
        <v>11402.44</v>
      </c>
      <c r="BN76" s="14">
        <v>11211.58</v>
      </c>
      <c r="BO76" s="14">
        <v>11303.73</v>
      </c>
      <c r="BP76" s="14">
        <v>11422.02</v>
      </c>
      <c r="BQ76" s="14">
        <v>11664.7</v>
      </c>
      <c r="BR76" s="14">
        <v>11869.04</v>
      </c>
      <c r="BS76" s="14">
        <v>12269.91</v>
      </c>
      <c r="BT76" s="14">
        <v>13021.43</v>
      </c>
      <c r="BU76" s="14">
        <v>13387.16</v>
      </c>
      <c r="BV76" s="14">
        <v>13467.15</v>
      </c>
      <c r="BW76" s="14">
        <v>13799.43</v>
      </c>
      <c r="BX76" s="14">
        <v>14017.03</v>
      </c>
      <c r="BY76" s="14">
        <v>13824.53</v>
      </c>
      <c r="BZ76" s="14">
        <v>13991.84</v>
      </c>
      <c r="CA76" s="14">
        <v>14260.43</v>
      </c>
      <c r="CB76" s="14">
        <v>14415.6</v>
      </c>
      <c r="CC76" s="14">
        <v>14614.23</v>
      </c>
      <c r="CD76" s="14">
        <v>14775.79</v>
      </c>
      <c r="CE76" s="14">
        <v>15017.05</v>
      </c>
      <c r="CF76" s="14">
        <v>15224.82</v>
      </c>
      <c r="CG76" s="14">
        <v>15550.27</v>
      </c>
      <c r="CH76" s="14">
        <v>15973.94</v>
      </c>
      <c r="CI76" s="14">
        <v>16576.759999999998</v>
      </c>
      <c r="CJ76" s="14">
        <v>17058.36</v>
      </c>
      <c r="CK76" s="14">
        <v>17492.830000000002</v>
      </c>
      <c r="CL76" s="14">
        <v>17883.11</v>
      </c>
      <c r="CM76" s="14">
        <v>18209.07</v>
      </c>
      <c r="CN76" s="14">
        <v>18314.740000000002</v>
      </c>
      <c r="CO76" s="14">
        <v>18462.54</v>
      </c>
      <c r="CP76" s="14">
        <v>18613.939999999999</v>
      </c>
      <c r="CQ76" s="14">
        <v>18717.169999999998</v>
      </c>
      <c r="CR76" s="14">
        <v>18767.349999999999</v>
      </c>
    </row>
    <row r="77" spans="54:98" x14ac:dyDescent="0.25">
      <c r="BB77" s="54" t="s">
        <v>112</v>
      </c>
      <c r="BC77" s="13" t="s">
        <v>128</v>
      </c>
      <c r="BD77" s="14">
        <v>8570.9490000000005</v>
      </c>
      <c r="BE77" s="14">
        <v>8583.16</v>
      </c>
      <c r="BF77" s="14">
        <v>8564.8860000000004</v>
      </c>
      <c r="BG77" s="14">
        <v>8719.0419999999995</v>
      </c>
      <c r="BH77" s="14">
        <v>8838.9050000000007</v>
      </c>
      <c r="BI77" s="14">
        <v>8959.42</v>
      </c>
      <c r="BJ77" s="14">
        <v>9172.3680000000004</v>
      </c>
      <c r="BK77" s="14">
        <v>9392.5480000000007</v>
      </c>
      <c r="BL77" s="14">
        <v>9449.7549999999992</v>
      </c>
      <c r="BM77" s="14">
        <v>9530.7330000000002</v>
      </c>
      <c r="BN77" s="14">
        <v>9779.9279999999999</v>
      </c>
      <c r="BO77" s="14">
        <v>9805.7489999999998</v>
      </c>
      <c r="BP77" s="14">
        <v>9887.1769999999997</v>
      </c>
      <c r="BQ77" s="14">
        <v>10115.61</v>
      </c>
      <c r="BR77" s="14">
        <v>10114.700000000001</v>
      </c>
      <c r="BS77" s="14">
        <v>9908.1749999999993</v>
      </c>
      <c r="BT77" s="14">
        <v>9997.9619999999995</v>
      </c>
      <c r="BU77" s="14">
        <v>10171.48</v>
      </c>
      <c r="BV77" s="14">
        <v>10410.549999999999</v>
      </c>
      <c r="BW77" s="14">
        <v>10655.82</v>
      </c>
      <c r="BX77" s="14">
        <v>11075.19</v>
      </c>
      <c r="BY77" s="14">
        <v>11736.82</v>
      </c>
      <c r="BZ77" s="14">
        <v>12031.91</v>
      </c>
      <c r="CA77" s="14">
        <v>12070.18</v>
      </c>
      <c r="CB77" s="14">
        <v>12319.41</v>
      </c>
      <c r="CC77" s="14">
        <v>12467.91</v>
      </c>
      <c r="CD77" s="14">
        <v>12325.1</v>
      </c>
      <c r="CE77" s="14">
        <v>12493.01</v>
      </c>
      <c r="CF77" s="14">
        <v>12742.68</v>
      </c>
      <c r="CG77" s="14">
        <v>12900.29</v>
      </c>
      <c r="CH77" s="14">
        <v>13092.26</v>
      </c>
      <c r="CI77" s="14">
        <v>13261.69</v>
      </c>
      <c r="CJ77" s="14">
        <v>13507.22</v>
      </c>
      <c r="CK77" s="14">
        <v>13722.32</v>
      </c>
      <c r="CL77" s="14">
        <v>14040.86</v>
      </c>
      <c r="CM77" s="14">
        <v>14446.53</v>
      </c>
      <c r="CN77" s="14">
        <v>15010.5</v>
      </c>
      <c r="CO77" s="14">
        <v>15469.23</v>
      </c>
      <c r="CP77" s="14">
        <v>15882.1</v>
      </c>
      <c r="CQ77" s="14">
        <v>16257.43</v>
      </c>
      <c r="CR77" s="14">
        <v>16569.41</v>
      </c>
    </row>
    <row r="78" spans="54:98" x14ac:dyDescent="0.25">
      <c r="BB78" s="54" t="s">
        <v>113</v>
      </c>
      <c r="BC78" s="13" t="s">
        <v>128</v>
      </c>
      <c r="BD78" s="14">
        <v>5363.3720000000003</v>
      </c>
      <c r="BE78" s="14">
        <v>5672.9939999999997</v>
      </c>
      <c r="BF78" s="14">
        <v>6005.3770000000004</v>
      </c>
      <c r="BG78" s="14">
        <v>6055.4129999999996</v>
      </c>
      <c r="BH78" s="14">
        <v>6002.37</v>
      </c>
      <c r="BI78" s="14">
        <v>6053.6930000000002</v>
      </c>
      <c r="BJ78" s="14">
        <v>6159.826</v>
      </c>
      <c r="BK78" s="14">
        <v>6162.9089999999997</v>
      </c>
      <c r="BL78" s="14">
        <v>6387.31</v>
      </c>
      <c r="BM78" s="14">
        <v>6703.0879999999997</v>
      </c>
      <c r="BN78" s="14">
        <v>7015.2619999999997</v>
      </c>
      <c r="BO78" s="14">
        <v>7267.5010000000002</v>
      </c>
      <c r="BP78" s="14">
        <v>7486.0640000000003</v>
      </c>
      <c r="BQ78" s="14">
        <v>7574.2039999999997</v>
      </c>
      <c r="BR78" s="14">
        <v>7667.2870000000003</v>
      </c>
      <c r="BS78" s="14">
        <v>7725.9139999999998</v>
      </c>
      <c r="BT78" s="14">
        <v>7765.924</v>
      </c>
      <c r="BU78" s="14">
        <v>7863.06</v>
      </c>
      <c r="BV78" s="14">
        <v>8110.4359999999997</v>
      </c>
      <c r="BW78" s="14">
        <v>8134.1639999999998</v>
      </c>
      <c r="BX78" s="14">
        <v>8000.6859999999997</v>
      </c>
      <c r="BY78" s="14">
        <v>8060.482</v>
      </c>
      <c r="BZ78" s="14">
        <v>8195.2009999999991</v>
      </c>
      <c r="CA78" s="14">
        <v>8402.4699999999993</v>
      </c>
      <c r="CB78" s="14">
        <v>8589.5519999999997</v>
      </c>
      <c r="CC78" s="14">
        <v>8896.34</v>
      </c>
      <c r="CD78" s="14">
        <v>9484.2369999999992</v>
      </c>
      <c r="CE78" s="14">
        <v>9768.7060000000001</v>
      </c>
      <c r="CF78" s="14">
        <v>9841.8220000000001</v>
      </c>
      <c r="CG78" s="14">
        <v>10068.58</v>
      </c>
      <c r="CH78" s="14">
        <v>10207.77</v>
      </c>
      <c r="CI78" s="14">
        <v>10123.42</v>
      </c>
      <c r="CJ78" s="14">
        <v>10289.469999999999</v>
      </c>
      <c r="CK78" s="14">
        <v>10512</v>
      </c>
      <c r="CL78" s="14">
        <v>10666.66</v>
      </c>
      <c r="CM78" s="14">
        <v>10843.3</v>
      </c>
      <c r="CN78" s="14">
        <v>11012.96</v>
      </c>
      <c r="CO78" s="14">
        <v>11254.59</v>
      </c>
      <c r="CP78" s="14">
        <v>11468.82</v>
      </c>
      <c r="CQ78" s="14">
        <v>11766.94</v>
      </c>
      <c r="CR78" s="14">
        <v>12136.85</v>
      </c>
    </row>
    <row r="79" spans="54:98" x14ac:dyDescent="0.25">
      <c r="BB79" s="54" t="s">
        <v>114</v>
      </c>
      <c r="BC79" s="13" t="s">
        <v>128</v>
      </c>
      <c r="BD79" s="14">
        <v>2614.0250000000001</v>
      </c>
      <c r="BE79" s="14">
        <v>2549.7179999999998</v>
      </c>
      <c r="BF79" s="14">
        <v>2499.4520000000002</v>
      </c>
      <c r="BG79" s="14">
        <v>2584.3649999999998</v>
      </c>
      <c r="BH79" s="14">
        <v>2827.5749999999998</v>
      </c>
      <c r="BI79" s="14">
        <v>3062.1819999999998</v>
      </c>
      <c r="BJ79" s="14">
        <v>3255.3919999999998</v>
      </c>
      <c r="BK79" s="14">
        <v>3466.212</v>
      </c>
      <c r="BL79" s="14">
        <v>3433.973</v>
      </c>
      <c r="BM79" s="14">
        <v>3408.0340000000001</v>
      </c>
      <c r="BN79" s="14">
        <v>3626.4749999999999</v>
      </c>
      <c r="BO79" s="14">
        <v>3740.5549999999998</v>
      </c>
      <c r="BP79" s="14">
        <v>3799.5030000000002</v>
      </c>
      <c r="BQ79" s="14">
        <v>3997.7640000000001</v>
      </c>
      <c r="BR79" s="14">
        <v>4129.4939999999997</v>
      </c>
      <c r="BS79" s="14">
        <v>4318.5330000000004</v>
      </c>
      <c r="BT79" s="14">
        <v>4410.8029999999999</v>
      </c>
      <c r="BU79" s="14">
        <v>4538.2870000000003</v>
      </c>
      <c r="BV79" s="14">
        <v>4572.33</v>
      </c>
      <c r="BW79" s="14">
        <v>4670.4669999999996</v>
      </c>
      <c r="BX79" s="14">
        <v>4760.8779999999997</v>
      </c>
      <c r="BY79" s="14">
        <v>4793.5829999999996</v>
      </c>
      <c r="BZ79" s="14">
        <v>4871.5950000000003</v>
      </c>
      <c r="CA79" s="14">
        <v>5032.8220000000001</v>
      </c>
      <c r="CB79" s="14">
        <v>5056.4309999999996</v>
      </c>
      <c r="CC79" s="14">
        <v>4973.5190000000002</v>
      </c>
      <c r="CD79" s="14">
        <v>5047.57</v>
      </c>
      <c r="CE79" s="14">
        <v>5186.0069999999996</v>
      </c>
      <c r="CF79" s="14">
        <v>5380.14</v>
      </c>
      <c r="CG79" s="14">
        <v>5538.9740000000002</v>
      </c>
      <c r="CH79" s="14">
        <v>5756.9960000000001</v>
      </c>
      <c r="CI79" s="14">
        <v>6195.0569999999998</v>
      </c>
      <c r="CJ79" s="14">
        <v>6418.3540000000003</v>
      </c>
      <c r="CK79" s="14">
        <v>6496.4750000000004</v>
      </c>
      <c r="CL79" s="14">
        <v>6666.6639999999998</v>
      </c>
      <c r="CM79" s="14">
        <v>6776.0780000000004</v>
      </c>
      <c r="CN79" s="14">
        <v>6757.2759999999998</v>
      </c>
      <c r="CO79" s="14">
        <v>6900.4070000000002</v>
      </c>
      <c r="CP79" s="14">
        <v>7069.8190000000004</v>
      </c>
      <c r="CQ79" s="14">
        <v>7198.4660000000003</v>
      </c>
      <c r="CR79" s="14">
        <v>7335.8469999999998</v>
      </c>
    </row>
    <row r="80" spans="54:98" x14ac:dyDescent="0.25">
      <c r="BB80" s="54" t="s">
        <v>115</v>
      </c>
      <c r="BC80" s="13" t="s">
        <v>128</v>
      </c>
      <c r="BD80" s="14">
        <v>833.20399999999995</v>
      </c>
      <c r="BE80" s="14">
        <v>912.93799999999999</v>
      </c>
      <c r="BF80" s="14">
        <v>949.07799999999997</v>
      </c>
      <c r="BG80" s="14">
        <v>982.29600000000005</v>
      </c>
      <c r="BH80" s="14">
        <v>1064.335</v>
      </c>
      <c r="BI80" s="14">
        <v>1060.8910000000001</v>
      </c>
      <c r="BJ80" s="14">
        <v>1030.1489999999999</v>
      </c>
      <c r="BK80" s="14">
        <v>1004.9059999999999</v>
      </c>
      <c r="BL80" s="14">
        <v>1119.6210000000001</v>
      </c>
      <c r="BM80" s="14">
        <v>1218.9590000000001</v>
      </c>
      <c r="BN80" s="14">
        <v>1333.421</v>
      </c>
      <c r="BO80" s="14">
        <v>1469.2719999999999</v>
      </c>
      <c r="BP80" s="14">
        <v>1613.6669999999999</v>
      </c>
      <c r="BQ80" s="14">
        <v>1662.605</v>
      </c>
      <c r="BR80" s="14">
        <v>1732.0450000000001</v>
      </c>
      <c r="BS80" s="14">
        <v>1839.5329999999999</v>
      </c>
      <c r="BT80" s="14">
        <v>1914.473</v>
      </c>
      <c r="BU80" s="14">
        <v>2004.8040000000001</v>
      </c>
      <c r="BV80" s="14">
        <v>2093.5929999999998</v>
      </c>
      <c r="BW80" s="14">
        <v>2208.3409999999999</v>
      </c>
      <c r="BX80" s="14">
        <v>2322.5340000000001</v>
      </c>
      <c r="BY80" s="14">
        <v>2410.0340000000001</v>
      </c>
      <c r="BZ80" s="14">
        <v>2510.4259999999999</v>
      </c>
      <c r="CA80" s="14">
        <v>2570.634</v>
      </c>
      <c r="CB80" s="14">
        <v>2678.6080000000002</v>
      </c>
      <c r="CC80" s="14">
        <v>2781.9459999999999</v>
      </c>
      <c r="CD80" s="14">
        <v>2863.741</v>
      </c>
      <c r="CE80" s="14">
        <v>2976.9720000000002</v>
      </c>
      <c r="CF80" s="14">
        <v>3106.2469999999998</v>
      </c>
      <c r="CG80" s="14">
        <v>3188.799</v>
      </c>
      <c r="CH80" s="14">
        <v>3212.3429999999998</v>
      </c>
      <c r="CI80" s="14">
        <v>3312.09</v>
      </c>
      <c r="CJ80" s="14">
        <v>3467.08</v>
      </c>
      <c r="CK80" s="14">
        <v>3662.8870000000002</v>
      </c>
      <c r="CL80" s="14">
        <v>3810.1129999999998</v>
      </c>
      <c r="CM80" s="14">
        <v>3953.0909999999999</v>
      </c>
      <c r="CN80" s="14">
        <v>4274.3249999999998</v>
      </c>
      <c r="CO80" s="14">
        <v>4493.0780000000004</v>
      </c>
      <c r="CP80" s="14">
        <v>4645.018</v>
      </c>
      <c r="CQ80" s="14">
        <v>4806.4449999999997</v>
      </c>
      <c r="CR80" s="14">
        <v>4924.5190000000002</v>
      </c>
    </row>
    <row r="81" spans="54:96" x14ac:dyDescent="0.25">
      <c r="BB81" s="54" t="s">
        <v>100</v>
      </c>
      <c r="BC81" s="13" t="s">
        <v>129</v>
      </c>
      <c r="BD81" s="14">
        <v>2422.0010000000002</v>
      </c>
      <c r="BE81" s="14">
        <v>2320.7280000000001</v>
      </c>
      <c r="BF81" s="14">
        <v>2270.6060000000002</v>
      </c>
      <c r="BG81" s="14">
        <v>2196.8380000000002</v>
      </c>
      <c r="BH81" s="14">
        <v>2124.9940000000001</v>
      </c>
      <c r="BI81" s="14">
        <v>2010.202</v>
      </c>
      <c r="BJ81" s="14">
        <v>1908.809</v>
      </c>
      <c r="BK81" s="14">
        <v>1805.4960000000001</v>
      </c>
      <c r="BL81" s="14">
        <v>1747.277</v>
      </c>
      <c r="BM81" s="14">
        <v>1672.269</v>
      </c>
      <c r="BN81" s="14">
        <v>1488.8879999999999</v>
      </c>
      <c r="BO81" s="14">
        <v>1404.258</v>
      </c>
      <c r="BP81" s="14">
        <v>1321.931</v>
      </c>
      <c r="BQ81" s="14">
        <v>1245.548</v>
      </c>
      <c r="BR81" s="14">
        <v>1185.0920000000001</v>
      </c>
      <c r="BS81" s="14">
        <v>1109.5129999999999</v>
      </c>
      <c r="BT81" s="14">
        <v>1035.0940000000001</v>
      </c>
      <c r="BU81" s="14">
        <v>947.21600000000001</v>
      </c>
      <c r="BV81" s="14">
        <v>878.971</v>
      </c>
      <c r="BW81" s="14">
        <v>826.10400000000004</v>
      </c>
      <c r="BX81" s="14">
        <v>786.89700000000005</v>
      </c>
      <c r="BY81" s="14">
        <v>817.18700000000001</v>
      </c>
      <c r="BZ81" s="14">
        <v>833.81399999999996</v>
      </c>
      <c r="CA81" s="14">
        <v>853.89</v>
      </c>
      <c r="CB81" s="14">
        <v>871.48500000000001</v>
      </c>
      <c r="CC81" s="14">
        <v>874.149</v>
      </c>
      <c r="CD81" s="14">
        <v>891.87400000000002</v>
      </c>
      <c r="CE81" s="14">
        <v>903.42899999999997</v>
      </c>
      <c r="CF81" s="14">
        <v>913.74199999999996</v>
      </c>
      <c r="CG81" s="14">
        <v>925.54899999999998</v>
      </c>
      <c r="CH81" s="14">
        <v>926.33600000000001</v>
      </c>
      <c r="CI81" s="14">
        <v>919.63800000000003</v>
      </c>
      <c r="CJ81" s="14">
        <v>910.351</v>
      </c>
      <c r="CK81" s="14">
        <v>909.81200000000001</v>
      </c>
      <c r="CL81" s="14">
        <v>911.85599999999999</v>
      </c>
      <c r="CM81" s="14">
        <v>908.69500000000005</v>
      </c>
      <c r="CN81" s="14">
        <v>913.97699999999998</v>
      </c>
      <c r="CO81" s="14">
        <v>915.53099999999995</v>
      </c>
      <c r="CP81" s="14">
        <v>917.30700000000002</v>
      </c>
      <c r="CQ81" s="14">
        <v>919.21</v>
      </c>
      <c r="CR81" s="14">
        <v>920.64300000000003</v>
      </c>
    </row>
    <row r="82" spans="54:96" x14ac:dyDescent="0.25">
      <c r="BB82" s="54" t="s">
        <v>101</v>
      </c>
      <c r="BC82" s="13" t="s">
        <v>129</v>
      </c>
      <c r="BD82" s="14">
        <v>8572.6749999999993</v>
      </c>
      <c r="BE82" s="14">
        <v>9098.9130000000005</v>
      </c>
      <c r="BF82" s="14">
        <v>9531.232</v>
      </c>
      <c r="BG82" s="14">
        <v>9872.5300000000007</v>
      </c>
      <c r="BH82" s="14">
        <v>9998.9969999999994</v>
      </c>
      <c r="BI82" s="14">
        <v>9912.6200000000008</v>
      </c>
      <c r="BJ82" s="14">
        <v>9900.3960000000006</v>
      </c>
      <c r="BK82" s="14">
        <v>9856.1530000000002</v>
      </c>
      <c r="BL82" s="14">
        <v>9687.6740000000009</v>
      </c>
      <c r="BM82" s="14">
        <v>9599.8729999999996</v>
      </c>
      <c r="BN82" s="14">
        <v>9393.3909999999996</v>
      </c>
      <c r="BO82" s="14">
        <v>9505.0120000000006</v>
      </c>
      <c r="BP82" s="14">
        <v>9420.32</v>
      </c>
      <c r="BQ82" s="14">
        <v>9448.0550000000003</v>
      </c>
      <c r="BR82" s="14">
        <v>9529.6880000000001</v>
      </c>
      <c r="BS82" s="14">
        <v>9659.2180000000008</v>
      </c>
      <c r="BT82" s="14">
        <v>9556.1560000000009</v>
      </c>
      <c r="BU82" s="14">
        <v>9520.5020000000004</v>
      </c>
      <c r="BV82" s="14">
        <v>9376.8680000000004</v>
      </c>
      <c r="BW82" s="14">
        <v>9226.652</v>
      </c>
      <c r="BX82" s="14">
        <v>9012.8160000000007</v>
      </c>
      <c r="BY82" s="14">
        <v>8854.7340000000004</v>
      </c>
      <c r="BZ82" s="14">
        <v>8726.4069999999992</v>
      </c>
      <c r="CA82" s="14">
        <v>8720.9140000000007</v>
      </c>
      <c r="CB82" s="14">
        <v>8810.7060000000001</v>
      </c>
      <c r="CC82" s="14">
        <v>8996.018</v>
      </c>
      <c r="CD82" s="14">
        <v>9197.9529999999995</v>
      </c>
      <c r="CE82" s="14">
        <v>9462.884</v>
      </c>
      <c r="CF82" s="14">
        <v>9677.9940000000006</v>
      </c>
      <c r="CG82" s="14">
        <v>9820.14</v>
      </c>
      <c r="CH82" s="14">
        <v>9959.5499999999993</v>
      </c>
      <c r="CI82" s="14">
        <v>10156.299999999999</v>
      </c>
      <c r="CJ82" s="14">
        <v>10240.23</v>
      </c>
      <c r="CK82" s="14">
        <v>10274.549999999999</v>
      </c>
      <c r="CL82" s="14">
        <v>10293.629999999999</v>
      </c>
      <c r="CM82" s="14">
        <v>10282.18</v>
      </c>
      <c r="CN82" s="14">
        <v>10170.68</v>
      </c>
      <c r="CO82" s="14">
        <v>10124.700000000001</v>
      </c>
      <c r="CP82" s="14">
        <v>10111.91</v>
      </c>
      <c r="CQ82" s="14">
        <v>10108.33</v>
      </c>
      <c r="CR82" s="14">
        <v>10091.299999999999</v>
      </c>
    </row>
    <row r="83" spans="54:96" x14ac:dyDescent="0.25">
      <c r="BB83" s="54" t="s">
        <v>102</v>
      </c>
      <c r="BC83" s="13" t="s">
        <v>129</v>
      </c>
      <c r="BD83" s="14">
        <v>11983.66</v>
      </c>
      <c r="BE83" s="14">
        <v>11816.83</v>
      </c>
      <c r="BF83" s="14">
        <v>11845.01</v>
      </c>
      <c r="BG83" s="14">
        <v>12129.97</v>
      </c>
      <c r="BH83" s="14">
        <v>12834.43</v>
      </c>
      <c r="BI83" s="14">
        <v>13326.61</v>
      </c>
      <c r="BJ83" s="14">
        <v>13800.73</v>
      </c>
      <c r="BK83" s="14">
        <v>14245.08</v>
      </c>
      <c r="BL83" s="14">
        <v>14287.42</v>
      </c>
      <c r="BM83" s="14">
        <v>14092.86</v>
      </c>
      <c r="BN83" s="14">
        <v>13884.83</v>
      </c>
      <c r="BO83" s="14">
        <v>13967.94</v>
      </c>
      <c r="BP83" s="14">
        <v>13977.06</v>
      </c>
      <c r="BQ83" s="14">
        <v>14045.05</v>
      </c>
      <c r="BR83" s="14">
        <v>14226.01</v>
      </c>
      <c r="BS83" s="14">
        <v>14554.59</v>
      </c>
      <c r="BT83" s="14">
        <v>14729.38</v>
      </c>
      <c r="BU83" s="14">
        <v>14813.94</v>
      </c>
      <c r="BV83" s="14">
        <v>14911.32</v>
      </c>
      <c r="BW83" s="14">
        <v>14886.04</v>
      </c>
      <c r="BX83" s="14">
        <v>14740.39</v>
      </c>
      <c r="BY83" s="14">
        <v>14642.12</v>
      </c>
      <c r="BZ83" s="14">
        <v>14623.02</v>
      </c>
      <c r="CA83" s="14">
        <v>14503.86</v>
      </c>
      <c r="CB83" s="14">
        <v>14390.8</v>
      </c>
      <c r="CC83" s="14">
        <v>14199.3</v>
      </c>
      <c r="CD83" s="14">
        <v>13949.1</v>
      </c>
      <c r="CE83" s="14">
        <v>13767.5</v>
      </c>
      <c r="CF83" s="14">
        <v>13744.67</v>
      </c>
      <c r="CG83" s="14">
        <v>13853</v>
      </c>
      <c r="CH83" s="14">
        <v>14106.78</v>
      </c>
      <c r="CI83" s="14">
        <v>14429.71</v>
      </c>
      <c r="CJ83" s="14">
        <v>14823.76</v>
      </c>
      <c r="CK83" s="14">
        <v>15135.84</v>
      </c>
      <c r="CL83" s="14">
        <v>15377.64</v>
      </c>
      <c r="CM83" s="14">
        <v>15595.82</v>
      </c>
      <c r="CN83" s="14">
        <v>15873.48</v>
      </c>
      <c r="CO83" s="14">
        <v>15982.52</v>
      </c>
      <c r="CP83" s="14">
        <v>16032.21</v>
      </c>
      <c r="CQ83" s="14">
        <v>16057.2</v>
      </c>
      <c r="CR83" s="14">
        <v>16030.24</v>
      </c>
    </row>
    <row r="84" spans="54:96" x14ac:dyDescent="0.25">
      <c r="BB84" s="54" t="s">
        <v>103</v>
      </c>
      <c r="BC84" s="13" t="s">
        <v>129</v>
      </c>
      <c r="BD84" s="14">
        <v>15528.92</v>
      </c>
      <c r="BE84" s="14">
        <v>15419.88</v>
      </c>
      <c r="BF84" s="14">
        <v>15080.81</v>
      </c>
      <c r="BG84" s="14">
        <v>14595.91</v>
      </c>
      <c r="BH84" s="14">
        <v>14342.69</v>
      </c>
      <c r="BI84" s="14">
        <v>14078.93</v>
      </c>
      <c r="BJ84" s="14">
        <v>13827.11</v>
      </c>
      <c r="BK84" s="14">
        <v>13915.58</v>
      </c>
      <c r="BL84" s="14">
        <v>14305.11</v>
      </c>
      <c r="BM84" s="14">
        <v>15012.83</v>
      </c>
      <c r="BN84" s="14">
        <v>15520.54</v>
      </c>
      <c r="BO84" s="14">
        <v>15695.57</v>
      </c>
      <c r="BP84" s="14">
        <v>15890.88</v>
      </c>
      <c r="BQ84" s="14">
        <v>15800.65</v>
      </c>
      <c r="BR84" s="14">
        <v>15563.67</v>
      </c>
      <c r="BS84" s="14">
        <v>15565.86</v>
      </c>
      <c r="BT84" s="14">
        <v>15726.03</v>
      </c>
      <c r="BU84" s="14">
        <v>15794.88</v>
      </c>
      <c r="BV84" s="14">
        <v>15920.44</v>
      </c>
      <c r="BW84" s="14">
        <v>16049.96</v>
      </c>
      <c r="BX84" s="14">
        <v>16278.51</v>
      </c>
      <c r="BY84" s="14">
        <v>16469.39</v>
      </c>
      <c r="BZ84" s="14">
        <v>16559.12</v>
      </c>
      <c r="CA84" s="14">
        <v>16665.419999999998</v>
      </c>
      <c r="CB84" s="14">
        <v>16642.060000000001</v>
      </c>
      <c r="CC84" s="14">
        <v>16509.64</v>
      </c>
      <c r="CD84" s="14">
        <v>16370.14</v>
      </c>
      <c r="CE84" s="14">
        <v>16308.41</v>
      </c>
      <c r="CF84" s="14">
        <v>16156.84</v>
      </c>
      <c r="CG84" s="14">
        <v>16015.82</v>
      </c>
      <c r="CH84" s="14">
        <v>15795.05</v>
      </c>
      <c r="CI84" s="14">
        <v>15510.97</v>
      </c>
      <c r="CJ84" s="14">
        <v>15313.74</v>
      </c>
      <c r="CK84" s="14">
        <v>15285.42</v>
      </c>
      <c r="CL84" s="14">
        <v>15401.56</v>
      </c>
      <c r="CM84" s="14">
        <v>15681.31</v>
      </c>
      <c r="CN84" s="14">
        <v>16051.63</v>
      </c>
      <c r="CO84" s="14">
        <v>16491.59</v>
      </c>
      <c r="CP84" s="14">
        <v>16838.47</v>
      </c>
      <c r="CQ84" s="14">
        <v>17120.009999999998</v>
      </c>
      <c r="CR84" s="14">
        <v>17369.419999999998</v>
      </c>
    </row>
    <row r="85" spans="54:96" x14ac:dyDescent="0.25">
      <c r="BB85" s="54" t="s">
        <v>104</v>
      </c>
      <c r="BC85" s="13" t="s">
        <v>129</v>
      </c>
      <c r="BD85" s="14">
        <v>15597.54</v>
      </c>
      <c r="BE85" s="14">
        <v>15812.12</v>
      </c>
      <c r="BF85" s="14">
        <v>15907.57</v>
      </c>
      <c r="BG85" s="14">
        <v>16004.73</v>
      </c>
      <c r="BH85" s="14">
        <v>16079.88</v>
      </c>
      <c r="BI85" s="14">
        <v>16031.59</v>
      </c>
      <c r="BJ85" s="14">
        <v>15985.75</v>
      </c>
      <c r="BK85" s="14">
        <v>15840.63</v>
      </c>
      <c r="BL85" s="14">
        <v>15640.27</v>
      </c>
      <c r="BM85" s="14">
        <v>15412.59</v>
      </c>
      <c r="BN85" s="14">
        <v>15354</v>
      </c>
      <c r="BO85" s="14">
        <v>15221.04</v>
      </c>
      <c r="BP85" s="14">
        <v>15179.08</v>
      </c>
      <c r="BQ85" s="14">
        <v>15557.19</v>
      </c>
      <c r="BR85" s="14">
        <v>16208.94</v>
      </c>
      <c r="BS85" s="14">
        <v>16658.75</v>
      </c>
      <c r="BT85" s="14">
        <v>17001</v>
      </c>
      <c r="BU85" s="14">
        <v>17351.080000000002</v>
      </c>
      <c r="BV85" s="14">
        <v>17440.810000000001</v>
      </c>
      <c r="BW85" s="14">
        <v>17281.919999999998</v>
      </c>
      <c r="BX85" s="14">
        <v>17321.900000000001</v>
      </c>
      <c r="BY85" s="14">
        <v>17501.189999999999</v>
      </c>
      <c r="BZ85" s="14">
        <v>17597.54</v>
      </c>
      <c r="CA85" s="14">
        <v>17758.060000000001</v>
      </c>
      <c r="CB85" s="14">
        <v>17924.66</v>
      </c>
      <c r="CC85" s="14">
        <v>18191.27</v>
      </c>
      <c r="CD85" s="14">
        <v>18372.46</v>
      </c>
      <c r="CE85" s="14">
        <v>18443.5</v>
      </c>
      <c r="CF85" s="14">
        <v>18531.45</v>
      </c>
      <c r="CG85" s="14">
        <v>18475.61</v>
      </c>
      <c r="CH85" s="14">
        <v>18303.96</v>
      </c>
      <c r="CI85" s="14">
        <v>18133.61</v>
      </c>
      <c r="CJ85" s="14">
        <v>18041.5</v>
      </c>
      <c r="CK85" s="14">
        <v>17861.66</v>
      </c>
      <c r="CL85" s="14">
        <v>17696.91</v>
      </c>
      <c r="CM85" s="14">
        <v>17447.09</v>
      </c>
      <c r="CN85" s="14">
        <v>17126.669999999998</v>
      </c>
      <c r="CO85" s="14">
        <v>16908.03</v>
      </c>
      <c r="CP85" s="14">
        <v>16870.79</v>
      </c>
      <c r="CQ85" s="14">
        <v>16993.87</v>
      </c>
      <c r="CR85" s="14">
        <v>17300.330000000002</v>
      </c>
    </row>
    <row r="86" spans="54:96" x14ac:dyDescent="0.25">
      <c r="BB86" s="54" t="s">
        <v>105</v>
      </c>
      <c r="BC86" s="13" t="s">
        <v>129</v>
      </c>
      <c r="BD86" s="14">
        <v>13243</v>
      </c>
      <c r="BE86" s="14">
        <v>13888.63</v>
      </c>
      <c r="BF86" s="14">
        <v>14469.31</v>
      </c>
      <c r="BG86" s="14">
        <v>14963.03</v>
      </c>
      <c r="BH86" s="14">
        <v>15453.36</v>
      </c>
      <c r="BI86" s="14">
        <v>15854.99</v>
      </c>
      <c r="BJ86" s="14">
        <v>16142.4</v>
      </c>
      <c r="BK86" s="14">
        <v>16359.22</v>
      </c>
      <c r="BL86" s="14">
        <v>16639.419999999998</v>
      </c>
      <c r="BM86" s="14">
        <v>16890.5</v>
      </c>
      <c r="BN86" s="14">
        <v>17095.849999999999</v>
      </c>
      <c r="BO86" s="14">
        <v>17214.22</v>
      </c>
      <c r="BP86" s="14">
        <v>17156.759999999998</v>
      </c>
      <c r="BQ86" s="14">
        <v>16976.830000000002</v>
      </c>
      <c r="BR86" s="14">
        <v>16776.73</v>
      </c>
      <c r="BS86" s="14">
        <v>16669.54</v>
      </c>
      <c r="BT86" s="14">
        <v>16570.09</v>
      </c>
      <c r="BU86" s="14">
        <v>16694.97</v>
      </c>
      <c r="BV86" s="14">
        <v>17168.59</v>
      </c>
      <c r="BW86" s="14">
        <v>17928.3</v>
      </c>
      <c r="BX86" s="14">
        <v>18479.599999999999</v>
      </c>
      <c r="BY86" s="14">
        <v>18808.939999999999</v>
      </c>
      <c r="BZ86" s="14">
        <v>19134.169999999998</v>
      </c>
      <c r="CA86" s="14">
        <v>19167.240000000002</v>
      </c>
      <c r="CB86" s="14">
        <v>18940.099999999999</v>
      </c>
      <c r="CC86" s="14">
        <v>18913.150000000001</v>
      </c>
      <c r="CD86" s="14">
        <v>19092.669999999998</v>
      </c>
      <c r="CE86" s="14">
        <v>19196.39</v>
      </c>
      <c r="CF86" s="14">
        <v>19368.32</v>
      </c>
      <c r="CG86" s="14">
        <v>19544.439999999999</v>
      </c>
      <c r="CH86" s="14">
        <v>19820.759999999998</v>
      </c>
      <c r="CI86" s="14">
        <v>20004.36</v>
      </c>
      <c r="CJ86" s="14">
        <v>20066.16</v>
      </c>
      <c r="CK86" s="14">
        <v>20145.560000000001</v>
      </c>
      <c r="CL86" s="14">
        <v>20067.11</v>
      </c>
      <c r="CM86" s="14">
        <v>19866.41</v>
      </c>
      <c r="CN86" s="14">
        <v>19672.61</v>
      </c>
      <c r="CO86" s="14">
        <v>19559.86</v>
      </c>
      <c r="CP86" s="14">
        <v>19358.07</v>
      </c>
      <c r="CQ86" s="14">
        <v>19174.419999999998</v>
      </c>
      <c r="CR86" s="14">
        <v>18899.47</v>
      </c>
    </row>
    <row r="87" spans="54:96" x14ac:dyDescent="0.25">
      <c r="BB87" s="54" t="s">
        <v>106</v>
      </c>
      <c r="BC87" s="13" t="s">
        <v>129</v>
      </c>
      <c r="BD87" s="14">
        <v>11552.47</v>
      </c>
      <c r="BE87" s="14">
        <v>11891.79</v>
      </c>
      <c r="BF87" s="14">
        <v>12199.87</v>
      </c>
      <c r="BG87" s="14">
        <v>12601.84</v>
      </c>
      <c r="BH87" s="14">
        <v>13161.57</v>
      </c>
      <c r="BI87" s="14">
        <v>13777.22</v>
      </c>
      <c r="BJ87" s="14">
        <v>14491.19</v>
      </c>
      <c r="BK87" s="14">
        <v>15209.74</v>
      </c>
      <c r="BL87" s="14">
        <v>15826.23</v>
      </c>
      <c r="BM87" s="14">
        <v>16451.21</v>
      </c>
      <c r="BN87" s="14">
        <v>17026.580000000002</v>
      </c>
      <c r="BO87" s="14">
        <v>17346.84</v>
      </c>
      <c r="BP87" s="14">
        <v>17664.14</v>
      </c>
      <c r="BQ87" s="14">
        <v>17924.55</v>
      </c>
      <c r="BR87" s="14">
        <v>18164.53</v>
      </c>
      <c r="BS87" s="14">
        <v>18454.18</v>
      </c>
      <c r="BT87" s="14">
        <v>18615.54</v>
      </c>
      <c r="BU87" s="14">
        <v>18603.099999999999</v>
      </c>
      <c r="BV87" s="14">
        <v>18446.689999999999</v>
      </c>
      <c r="BW87" s="14">
        <v>18304.810000000001</v>
      </c>
      <c r="BX87" s="14">
        <v>18159.400000000001</v>
      </c>
      <c r="BY87" s="14">
        <v>17855.75</v>
      </c>
      <c r="BZ87" s="14">
        <v>17792.849999999999</v>
      </c>
      <c r="CA87" s="14">
        <v>18107.39</v>
      </c>
      <c r="CB87" s="14">
        <v>18713.599999999999</v>
      </c>
      <c r="CC87" s="14">
        <v>19116.400000000001</v>
      </c>
      <c r="CD87" s="14">
        <v>19477.23</v>
      </c>
      <c r="CE87" s="14">
        <v>19829.830000000002</v>
      </c>
      <c r="CF87" s="14">
        <v>19876.990000000002</v>
      </c>
      <c r="CG87" s="14">
        <v>19662.16</v>
      </c>
      <c r="CH87" s="14">
        <v>19640.650000000001</v>
      </c>
      <c r="CI87" s="14">
        <v>19821.22</v>
      </c>
      <c r="CJ87" s="14">
        <v>19929.189999999999</v>
      </c>
      <c r="CK87" s="14">
        <v>20105.099999999999</v>
      </c>
      <c r="CL87" s="14">
        <v>20282.79</v>
      </c>
      <c r="CM87" s="14">
        <v>20560.54</v>
      </c>
      <c r="CN87" s="14">
        <v>20743.82</v>
      </c>
      <c r="CO87" s="14">
        <v>20799.29</v>
      </c>
      <c r="CP87" s="14">
        <v>20871.25</v>
      </c>
      <c r="CQ87" s="14">
        <v>20780.900000000001</v>
      </c>
      <c r="CR87" s="14">
        <v>20566.919999999998</v>
      </c>
    </row>
    <row r="88" spans="54:96" x14ac:dyDescent="0.25">
      <c r="BB88" s="54" t="s">
        <v>107</v>
      </c>
      <c r="BC88" s="13" t="s">
        <v>129</v>
      </c>
      <c r="BD88" s="14">
        <v>11527.14</v>
      </c>
      <c r="BE88" s="14">
        <v>11451.45</v>
      </c>
      <c r="BF88" s="14">
        <v>11488.21</v>
      </c>
      <c r="BG88" s="14">
        <v>11615.14</v>
      </c>
      <c r="BH88" s="14">
        <v>11776.38</v>
      </c>
      <c r="BI88" s="14">
        <v>12080.11</v>
      </c>
      <c r="BJ88" s="14">
        <v>12437.77</v>
      </c>
      <c r="BK88" s="14">
        <v>12784.37</v>
      </c>
      <c r="BL88" s="14">
        <v>13304.06</v>
      </c>
      <c r="BM88" s="14">
        <v>13877.48</v>
      </c>
      <c r="BN88" s="14">
        <v>14639.85</v>
      </c>
      <c r="BO88" s="14">
        <v>15362.48</v>
      </c>
      <c r="BP88" s="14">
        <v>15994.97</v>
      </c>
      <c r="BQ88" s="14">
        <v>16613.09</v>
      </c>
      <c r="BR88" s="14">
        <v>17216.07</v>
      </c>
      <c r="BS88" s="14">
        <v>17732.27</v>
      </c>
      <c r="BT88" s="14">
        <v>18010.599999999999</v>
      </c>
      <c r="BU88" s="14">
        <v>18348.71</v>
      </c>
      <c r="BV88" s="14">
        <v>18556.53</v>
      </c>
      <c r="BW88" s="14">
        <v>18760.37</v>
      </c>
      <c r="BX88" s="14">
        <v>19017.439999999999</v>
      </c>
      <c r="BY88" s="14">
        <v>18935.63</v>
      </c>
      <c r="BZ88" s="14">
        <v>18685.11</v>
      </c>
      <c r="CA88" s="14">
        <v>18297.14</v>
      </c>
      <c r="CB88" s="14">
        <v>17930.23</v>
      </c>
      <c r="CC88" s="14">
        <v>17572.71</v>
      </c>
      <c r="CD88" s="14">
        <v>17271.169999999998</v>
      </c>
      <c r="CE88" s="14">
        <v>17201.7</v>
      </c>
      <c r="CF88" s="14">
        <v>17501.18</v>
      </c>
      <c r="CG88" s="14">
        <v>18082.18</v>
      </c>
      <c r="CH88" s="14">
        <v>18476.93</v>
      </c>
      <c r="CI88" s="14">
        <v>18838.87</v>
      </c>
      <c r="CJ88" s="14">
        <v>19189.5</v>
      </c>
      <c r="CK88" s="14">
        <v>19245.560000000001</v>
      </c>
      <c r="CL88" s="14">
        <v>19054.09</v>
      </c>
      <c r="CM88" s="14">
        <v>19039.62</v>
      </c>
      <c r="CN88" s="14">
        <v>19211.32</v>
      </c>
      <c r="CO88" s="14">
        <v>19317</v>
      </c>
      <c r="CP88" s="14">
        <v>19485.189999999999</v>
      </c>
      <c r="CQ88" s="14">
        <v>19653.439999999999</v>
      </c>
      <c r="CR88" s="14">
        <v>19917.34</v>
      </c>
    </row>
    <row r="89" spans="54:96" x14ac:dyDescent="0.25">
      <c r="BB89" s="54" t="s">
        <v>108</v>
      </c>
      <c r="BC89" s="13" t="s">
        <v>129</v>
      </c>
      <c r="BD89" s="14">
        <v>10566.69</v>
      </c>
      <c r="BE89" s="14">
        <v>11251.08</v>
      </c>
      <c r="BF89" s="14">
        <v>11522.07</v>
      </c>
      <c r="BG89" s="14">
        <v>11595.63</v>
      </c>
      <c r="BH89" s="14">
        <v>11761.47</v>
      </c>
      <c r="BI89" s="14">
        <v>11926.23</v>
      </c>
      <c r="BJ89" s="14">
        <v>11703.37</v>
      </c>
      <c r="BK89" s="14">
        <v>11668.78</v>
      </c>
      <c r="BL89" s="14">
        <v>11832.8</v>
      </c>
      <c r="BM89" s="14">
        <v>11888.43</v>
      </c>
      <c r="BN89" s="14">
        <v>12158.49</v>
      </c>
      <c r="BO89" s="14">
        <v>12475.48</v>
      </c>
      <c r="BP89" s="14">
        <v>12736.36</v>
      </c>
      <c r="BQ89" s="14">
        <v>13162.58</v>
      </c>
      <c r="BR89" s="14">
        <v>13624.67</v>
      </c>
      <c r="BS89" s="14">
        <v>14148.11</v>
      </c>
      <c r="BT89" s="14">
        <v>14700.93</v>
      </c>
      <c r="BU89" s="14">
        <v>15222.86</v>
      </c>
      <c r="BV89" s="14">
        <v>15720.96</v>
      </c>
      <c r="BW89" s="14">
        <v>16175.74</v>
      </c>
      <c r="BX89" s="14">
        <v>16580.98</v>
      </c>
      <c r="BY89" s="14">
        <v>16641.169999999998</v>
      </c>
      <c r="BZ89" s="14">
        <v>16753.88</v>
      </c>
      <c r="CA89" s="14">
        <v>16752.939999999999</v>
      </c>
      <c r="CB89" s="14">
        <v>16747.37</v>
      </c>
      <c r="CC89" s="14">
        <v>16793.88</v>
      </c>
      <c r="CD89" s="14">
        <v>16720.419999999998</v>
      </c>
      <c r="CE89" s="14">
        <v>16499.12</v>
      </c>
      <c r="CF89" s="14">
        <v>16153.11</v>
      </c>
      <c r="CG89" s="14">
        <v>15823.42</v>
      </c>
      <c r="CH89" s="14">
        <v>15501.17</v>
      </c>
      <c r="CI89" s="14">
        <v>15229.3</v>
      </c>
      <c r="CJ89" s="14">
        <v>15162.61</v>
      </c>
      <c r="CK89" s="14">
        <v>15425.44</v>
      </c>
      <c r="CL89" s="14">
        <v>15937.26</v>
      </c>
      <c r="CM89" s="14">
        <v>16291.28</v>
      </c>
      <c r="CN89" s="14">
        <v>16621</v>
      </c>
      <c r="CO89" s="14">
        <v>16938.22</v>
      </c>
      <c r="CP89" s="14">
        <v>16995.04</v>
      </c>
      <c r="CQ89" s="14">
        <v>16839.88</v>
      </c>
      <c r="CR89" s="14">
        <v>16834.419999999998</v>
      </c>
    </row>
    <row r="90" spans="54:96" x14ac:dyDescent="0.25">
      <c r="BB90" s="54" t="s">
        <v>109</v>
      </c>
      <c r="BC90" s="13" t="s">
        <v>129</v>
      </c>
      <c r="BD90" s="14">
        <v>10553.72</v>
      </c>
      <c r="BE90" s="14">
        <v>10270.33</v>
      </c>
      <c r="BF90" s="14">
        <v>10265.540000000001</v>
      </c>
      <c r="BG90" s="14">
        <v>10243.36</v>
      </c>
      <c r="BH90" s="14">
        <v>10287.93</v>
      </c>
      <c r="BI90" s="14">
        <v>10382.450000000001</v>
      </c>
      <c r="BJ90" s="14">
        <v>10922.24</v>
      </c>
      <c r="BK90" s="14">
        <v>11106.21</v>
      </c>
      <c r="BL90" s="14">
        <v>11186.09</v>
      </c>
      <c r="BM90" s="14">
        <v>11400.52</v>
      </c>
      <c r="BN90" s="14">
        <v>11508.55</v>
      </c>
      <c r="BO90" s="14">
        <v>11223.45</v>
      </c>
      <c r="BP90" s="14">
        <v>11131.83</v>
      </c>
      <c r="BQ90" s="14">
        <v>11182.64</v>
      </c>
      <c r="BR90" s="14">
        <v>11125.8</v>
      </c>
      <c r="BS90" s="14">
        <v>11220.3</v>
      </c>
      <c r="BT90" s="14">
        <v>11471.78</v>
      </c>
      <c r="BU90" s="14">
        <v>11620.81</v>
      </c>
      <c r="BV90" s="14">
        <v>11878.82</v>
      </c>
      <c r="BW90" s="14">
        <v>12207.68</v>
      </c>
      <c r="BX90" s="14">
        <v>12565.47</v>
      </c>
      <c r="BY90" s="14">
        <v>12980.93</v>
      </c>
      <c r="BZ90" s="14">
        <v>13359.66</v>
      </c>
      <c r="CA90" s="14">
        <v>13718.21</v>
      </c>
      <c r="CB90" s="14">
        <v>14036.63</v>
      </c>
      <c r="CC90" s="14">
        <v>14304.54</v>
      </c>
      <c r="CD90" s="14">
        <v>14361.23</v>
      </c>
      <c r="CE90" s="14">
        <v>14459.45</v>
      </c>
      <c r="CF90" s="14">
        <v>14463.6</v>
      </c>
      <c r="CG90" s="14">
        <v>14458.76</v>
      </c>
      <c r="CH90" s="14">
        <v>14501.38</v>
      </c>
      <c r="CI90" s="14">
        <v>14437.94</v>
      </c>
      <c r="CJ90" s="14">
        <v>14247.3</v>
      </c>
      <c r="CK90" s="14">
        <v>13947.39</v>
      </c>
      <c r="CL90" s="14">
        <v>13660.88</v>
      </c>
      <c r="CM90" s="14">
        <v>13377.74</v>
      </c>
      <c r="CN90" s="14">
        <v>13138.9</v>
      </c>
      <c r="CO90" s="14">
        <v>13076.88</v>
      </c>
      <c r="CP90" s="14">
        <v>13301.63</v>
      </c>
      <c r="CQ90" s="14">
        <v>13741.5</v>
      </c>
      <c r="CR90" s="14">
        <v>14051.39</v>
      </c>
    </row>
    <row r="91" spans="54:96" x14ac:dyDescent="0.25">
      <c r="BB91" s="54" t="s">
        <v>110</v>
      </c>
      <c r="BC91" s="13" t="s">
        <v>129</v>
      </c>
      <c r="BD91" s="14">
        <v>11797.87</v>
      </c>
      <c r="BE91" s="14">
        <v>11573.33</v>
      </c>
      <c r="BF91" s="14">
        <v>11378.84</v>
      </c>
      <c r="BG91" s="14">
        <v>11209.68</v>
      </c>
      <c r="BH91" s="14">
        <v>10961.83</v>
      </c>
      <c r="BI91" s="14">
        <v>10458.18</v>
      </c>
      <c r="BJ91" s="14">
        <v>10053.879999999999</v>
      </c>
      <c r="BK91" s="14">
        <v>9912.4169999999995</v>
      </c>
      <c r="BL91" s="14">
        <v>9900.23</v>
      </c>
      <c r="BM91" s="14">
        <v>9884.0229999999992</v>
      </c>
      <c r="BN91" s="14">
        <v>9964.6550000000007</v>
      </c>
      <c r="BO91" s="14">
        <v>10276.120000000001</v>
      </c>
      <c r="BP91" s="14">
        <v>10339.06</v>
      </c>
      <c r="BQ91" s="14">
        <v>10210.950000000001</v>
      </c>
      <c r="BR91" s="14">
        <v>10249.540000000001</v>
      </c>
      <c r="BS91" s="14">
        <v>10177.42</v>
      </c>
      <c r="BT91" s="14">
        <v>9758.3009999999995</v>
      </c>
      <c r="BU91" s="14">
        <v>9530.2520000000004</v>
      </c>
      <c r="BV91" s="14">
        <v>9435.6139999999996</v>
      </c>
      <c r="BW91" s="14">
        <v>9265.8780000000006</v>
      </c>
      <c r="BX91" s="14">
        <v>9218.393</v>
      </c>
      <c r="BY91" s="14">
        <v>9440.0370000000003</v>
      </c>
      <c r="BZ91" s="14">
        <v>9584.5120000000006</v>
      </c>
      <c r="CA91" s="14">
        <v>9818.1620000000003</v>
      </c>
      <c r="CB91" s="14">
        <v>10113.42</v>
      </c>
      <c r="CC91" s="14">
        <v>10435.120000000001</v>
      </c>
      <c r="CD91" s="14">
        <v>10786.15</v>
      </c>
      <c r="CE91" s="14">
        <v>11105.61</v>
      </c>
      <c r="CF91" s="14">
        <v>11411.58</v>
      </c>
      <c r="CG91" s="14">
        <v>11684.3</v>
      </c>
      <c r="CH91" s="14">
        <v>11911.67</v>
      </c>
      <c r="CI91" s="14">
        <v>11966.06</v>
      </c>
      <c r="CJ91" s="14">
        <v>12051.85</v>
      </c>
      <c r="CK91" s="14">
        <v>12060.68</v>
      </c>
      <c r="CL91" s="14">
        <v>12058.1</v>
      </c>
      <c r="CM91" s="14">
        <v>12096.66</v>
      </c>
      <c r="CN91" s="14">
        <v>12046.36</v>
      </c>
      <c r="CO91" s="14">
        <v>11890.23</v>
      </c>
      <c r="CP91" s="14">
        <v>11642.6</v>
      </c>
      <c r="CQ91" s="14">
        <v>11406.64</v>
      </c>
      <c r="CR91" s="14">
        <v>11169.7</v>
      </c>
    </row>
    <row r="92" spans="54:96" x14ac:dyDescent="0.25">
      <c r="BB92" s="54" t="s">
        <v>111</v>
      </c>
      <c r="BC92" s="13" t="s">
        <v>129</v>
      </c>
      <c r="BD92" s="14">
        <v>12285.93</v>
      </c>
      <c r="BE92" s="14">
        <v>11936.47</v>
      </c>
      <c r="BF92" s="14">
        <v>11531.89</v>
      </c>
      <c r="BG92" s="14">
        <v>11062.73</v>
      </c>
      <c r="BH92" s="14">
        <v>10700.81</v>
      </c>
      <c r="BI92" s="14">
        <v>10481.700000000001</v>
      </c>
      <c r="BJ92" s="14">
        <v>10292.41</v>
      </c>
      <c r="BK92" s="14">
        <v>10190.24</v>
      </c>
      <c r="BL92" s="14">
        <v>10110.790000000001</v>
      </c>
      <c r="BM92" s="14">
        <v>9921.89</v>
      </c>
      <c r="BN92" s="14">
        <v>9502.1139999999996</v>
      </c>
      <c r="BO92" s="14">
        <v>9219.7479999999996</v>
      </c>
      <c r="BP92" s="14">
        <v>9128.3829999999998</v>
      </c>
      <c r="BQ92" s="14">
        <v>9158.0210000000006</v>
      </c>
      <c r="BR92" s="14">
        <v>9139.2909999999993</v>
      </c>
      <c r="BS92" s="14">
        <v>9183.268</v>
      </c>
      <c r="BT92" s="14">
        <v>9531.8029999999999</v>
      </c>
      <c r="BU92" s="14">
        <v>9598.7129999999997</v>
      </c>
      <c r="BV92" s="14">
        <v>9504.7129999999997</v>
      </c>
      <c r="BW92" s="14">
        <v>9545.1260000000002</v>
      </c>
      <c r="BX92" s="14">
        <v>9516.9889999999996</v>
      </c>
      <c r="BY92" s="14">
        <v>9289.9709999999995</v>
      </c>
      <c r="BZ92" s="14">
        <v>9235.3359999999993</v>
      </c>
      <c r="CA92" s="14">
        <v>9305.0349999999999</v>
      </c>
      <c r="CB92" s="14">
        <v>9303.0310000000009</v>
      </c>
      <c r="CC92" s="14">
        <v>9422.4560000000001</v>
      </c>
      <c r="CD92" s="14">
        <v>9655.4529999999995</v>
      </c>
      <c r="CE92" s="14">
        <v>9813.1010000000006</v>
      </c>
      <c r="CF92" s="14">
        <v>10061.280000000001</v>
      </c>
      <c r="CG92" s="14">
        <v>10372.61</v>
      </c>
      <c r="CH92" s="14">
        <v>10711.27</v>
      </c>
      <c r="CI92" s="14">
        <v>11083.36</v>
      </c>
      <c r="CJ92" s="14">
        <v>11421.41</v>
      </c>
      <c r="CK92" s="14">
        <v>11747.58</v>
      </c>
      <c r="CL92" s="14">
        <v>12037.54</v>
      </c>
      <c r="CM92" s="14">
        <v>12280.44</v>
      </c>
      <c r="CN92" s="14">
        <v>12346.26</v>
      </c>
      <c r="CO92" s="14">
        <v>12443.04</v>
      </c>
      <c r="CP92" s="14">
        <v>12460.91</v>
      </c>
      <c r="CQ92" s="14">
        <v>12466.58</v>
      </c>
      <c r="CR92" s="14">
        <v>12514.41</v>
      </c>
    </row>
    <row r="93" spans="54:96" x14ac:dyDescent="0.25">
      <c r="BB93" s="54" t="s">
        <v>112</v>
      </c>
      <c r="BC93" s="13" t="s">
        <v>129</v>
      </c>
      <c r="BD93" s="14">
        <v>12349.04</v>
      </c>
      <c r="BE93" s="14">
        <v>11872.69</v>
      </c>
      <c r="BF93" s="14">
        <v>11478.22</v>
      </c>
      <c r="BG93" s="14">
        <v>11111.93</v>
      </c>
      <c r="BH93" s="14">
        <v>10790.06</v>
      </c>
      <c r="BI93" s="14">
        <v>10604.75</v>
      </c>
      <c r="BJ93" s="14">
        <v>10380.06</v>
      </c>
      <c r="BK93" s="14">
        <v>10141.280000000001</v>
      </c>
      <c r="BL93" s="14">
        <v>9875.2520000000004</v>
      </c>
      <c r="BM93" s="14">
        <v>9644.4789999999994</v>
      </c>
      <c r="BN93" s="14">
        <v>9613.3369999999995</v>
      </c>
      <c r="BO93" s="14">
        <v>9502.4290000000001</v>
      </c>
      <c r="BP93" s="14">
        <v>9489.7090000000007</v>
      </c>
      <c r="BQ93" s="14">
        <v>9438.1659999999993</v>
      </c>
      <c r="BR93" s="14">
        <v>9232.0110000000004</v>
      </c>
      <c r="BS93" s="14">
        <v>8780.7950000000001</v>
      </c>
      <c r="BT93" s="14">
        <v>8557.2170000000006</v>
      </c>
      <c r="BU93" s="14">
        <v>8541.8160000000007</v>
      </c>
      <c r="BV93" s="14">
        <v>8613.0759999999991</v>
      </c>
      <c r="BW93" s="14">
        <v>8626.9850000000006</v>
      </c>
      <c r="BX93" s="14">
        <v>8697.1919999999991</v>
      </c>
      <c r="BY93" s="14">
        <v>9184.7929999999997</v>
      </c>
      <c r="BZ93" s="14">
        <v>9407.5619999999999</v>
      </c>
      <c r="CA93" s="14">
        <v>9471.527</v>
      </c>
      <c r="CB93" s="14">
        <v>9663.9989999999998</v>
      </c>
      <c r="CC93" s="14">
        <v>9786.23</v>
      </c>
      <c r="CD93" s="14">
        <v>9572.2690000000002</v>
      </c>
      <c r="CE93" s="14">
        <v>9533.0370000000003</v>
      </c>
      <c r="CF93" s="14">
        <v>9614.8119999999999</v>
      </c>
      <c r="CG93" s="14">
        <v>9627.357</v>
      </c>
      <c r="CH93" s="14">
        <v>9760.8340000000007</v>
      </c>
      <c r="CI93" s="14">
        <v>10010.66</v>
      </c>
      <c r="CJ93" s="14">
        <v>10186.4</v>
      </c>
      <c r="CK93" s="14">
        <v>10454.459999999999</v>
      </c>
      <c r="CL93" s="14">
        <v>10787.93</v>
      </c>
      <c r="CM93" s="14">
        <v>11147.9</v>
      </c>
      <c r="CN93" s="14">
        <v>11548.4</v>
      </c>
      <c r="CO93" s="14">
        <v>11909.75</v>
      </c>
      <c r="CP93" s="14">
        <v>12260.92</v>
      </c>
      <c r="CQ93" s="14">
        <v>12573.04</v>
      </c>
      <c r="CR93" s="14">
        <v>12835.53</v>
      </c>
    </row>
    <row r="94" spans="54:96" x14ac:dyDescent="0.25">
      <c r="BB94" s="54" t="s">
        <v>113</v>
      </c>
      <c r="BC94" s="13" t="s">
        <v>129</v>
      </c>
      <c r="BD94" s="14">
        <v>9435.0169999999998</v>
      </c>
      <c r="BE94" s="14">
        <v>9653.8289999999997</v>
      </c>
      <c r="BF94" s="14">
        <v>9800.3320000000003</v>
      </c>
      <c r="BG94" s="14">
        <v>9763.8559999999998</v>
      </c>
      <c r="BH94" s="14">
        <v>9413.6319999999996</v>
      </c>
      <c r="BI94" s="14">
        <v>9044.9699999999993</v>
      </c>
      <c r="BJ94" s="14">
        <v>8849.2139999999999</v>
      </c>
      <c r="BK94" s="14">
        <v>8691.9349999999995</v>
      </c>
      <c r="BL94" s="14">
        <v>8572.0409999999993</v>
      </c>
      <c r="BM94" s="14">
        <v>8519.0120000000006</v>
      </c>
      <c r="BN94" s="14">
        <v>8677.8639999999996</v>
      </c>
      <c r="BO94" s="14">
        <v>8658.2029999999995</v>
      </c>
      <c r="BP94" s="14">
        <v>8576.0130000000008</v>
      </c>
      <c r="BQ94" s="14">
        <v>8561.4629999999997</v>
      </c>
      <c r="BR94" s="14">
        <v>8429.9249999999993</v>
      </c>
      <c r="BS94" s="14">
        <v>8475.7639999999992</v>
      </c>
      <c r="BT94" s="14">
        <v>8493.9429999999993</v>
      </c>
      <c r="BU94" s="14">
        <v>8558.5810000000001</v>
      </c>
      <c r="BV94" s="14">
        <v>8581.4310000000005</v>
      </c>
      <c r="BW94" s="14">
        <v>8511.357</v>
      </c>
      <c r="BX94" s="14">
        <v>8229.5689999999995</v>
      </c>
      <c r="BY94" s="14">
        <v>8161.777</v>
      </c>
      <c r="BZ94" s="14">
        <v>8290.107</v>
      </c>
      <c r="CA94" s="14">
        <v>8502.0560000000005</v>
      </c>
      <c r="CB94" s="14">
        <v>8655.52</v>
      </c>
      <c r="CC94" s="14">
        <v>8854.7309999999998</v>
      </c>
      <c r="CD94" s="14">
        <v>9383.402</v>
      </c>
      <c r="CE94" s="14">
        <v>9641.6859999999997</v>
      </c>
      <c r="CF94" s="14">
        <v>9730.9930000000004</v>
      </c>
      <c r="CG94" s="14">
        <v>9943.9339999999993</v>
      </c>
      <c r="CH94" s="14">
        <v>10071.73</v>
      </c>
      <c r="CI94" s="14">
        <v>9877.2729999999992</v>
      </c>
      <c r="CJ94" s="14">
        <v>9863.3259999999991</v>
      </c>
      <c r="CK94" s="14">
        <v>9964.4320000000007</v>
      </c>
      <c r="CL94" s="14">
        <v>9999.4770000000008</v>
      </c>
      <c r="CM94" s="14">
        <v>10154.450000000001</v>
      </c>
      <c r="CN94" s="14">
        <v>10432.73</v>
      </c>
      <c r="CO94" s="14">
        <v>10638.07</v>
      </c>
      <c r="CP94" s="14">
        <v>10938.43</v>
      </c>
      <c r="CQ94" s="14">
        <v>11306.57</v>
      </c>
      <c r="CR94" s="14">
        <v>11700.13</v>
      </c>
    </row>
    <row r="95" spans="54:96" x14ac:dyDescent="0.25">
      <c r="BB95" s="54" t="s">
        <v>114</v>
      </c>
      <c r="BC95" s="13" t="s">
        <v>129</v>
      </c>
      <c r="BD95" s="14">
        <v>6109.6869999999999</v>
      </c>
      <c r="BE95" s="14">
        <v>5889.8469999999998</v>
      </c>
      <c r="BF95" s="14">
        <v>5498.9340000000002</v>
      </c>
      <c r="BG95" s="14">
        <v>5294.1980000000003</v>
      </c>
      <c r="BH95" s="14">
        <v>5476.6549999999997</v>
      </c>
      <c r="BI95" s="14">
        <v>5701.433</v>
      </c>
      <c r="BJ95" s="14">
        <v>5956.8739999999998</v>
      </c>
      <c r="BK95" s="14">
        <v>6113.3249999999998</v>
      </c>
      <c r="BL95" s="14">
        <v>6093.1289999999999</v>
      </c>
      <c r="BM95" s="14">
        <v>6024.0020000000004</v>
      </c>
      <c r="BN95" s="14">
        <v>6034.4080000000004</v>
      </c>
      <c r="BO95" s="14">
        <v>5978.723</v>
      </c>
      <c r="BP95" s="14">
        <v>5931.5450000000001</v>
      </c>
      <c r="BQ95" s="14">
        <v>5905.0110000000004</v>
      </c>
      <c r="BR95" s="14">
        <v>6004.8140000000003</v>
      </c>
      <c r="BS95" s="14">
        <v>6090.9160000000002</v>
      </c>
      <c r="BT95" s="14">
        <v>6055.625</v>
      </c>
      <c r="BU95" s="14">
        <v>6076.4139999999998</v>
      </c>
      <c r="BV95" s="14">
        <v>6038.5919999999996</v>
      </c>
      <c r="BW95" s="14">
        <v>6007.3360000000002</v>
      </c>
      <c r="BX95" s="14">
        <v>6100.8609999999999</v>
      </c>
      <c r="BY95" s="14">
        <v>6184.6679999999997</v>
      </c>
      <c r="BZ95" s="14">
        <v>6295.3770000000004</v>
      </c>
      <c r="CA95" s="14">
        <v>6358.1109999999999</v>
      </c>
      <c r="CB95" s="14">
        <v>6355.4219999999996</v>
      </c>
      <c r="CC95" s="14">
        <v>6203.2650000000003</v>
      </c>
      <c r="CD95" s="14">
        <v>6192.7150000000001</v>
      </c>
      <c r="CE95" s="14">
        <v>6341.2169999999996</v>
      </c>
      <c r="CF95" s="14">
        <v>6547.4830000000002</v>
      </c>
      <c r="CG95" s="14">
        <v>6700.65</v>
      </c>
      <c r="CH95" s="14">
        <v>6870.6610000000001</v>
      </c>
      <c r="CI95" s="14">
        <v>7325.9690000000001</v>
      </c>
      <c r="CJ95" s="14">
        <v>7569.1859999999997</v>
      </c>
      <c r="CK95" s="14">
        <v>7666.3819999999996</v>
      </c>
      <c r="CL95" s="14">
        <v>7848.0230000000001</v>
      </c>
      <c r="CM95" s="14">
        <v>7949.4189999999999</v>
      </c>
      <c r="CN95" s="14">
        <v>7823.4790000000003</v>
      </c>
      <c r="CO95" s="14">
        <v>7842.37</v>
      </c>
      <c r="CP95" s="14">
        <v>7941.7539999999999</v>
      </c>
      <c r="CQ95" s="14">
        <v>7995.9719999999998</v>
      </c>
      <c r="CR95" s="14">
        <v>8138.4669999999996</v>
      </c>
    </row>
    <row r="96" spans="54:96" x14ac:dyDescent="0.25">
      <c r="BB96" s="54" t="s">
        <v>115</v>
      </c>
      <c r="BC96" s="13" t="s">
        <v>129</v>
      </c>
      <c r="BD96" s="14">
        <v>2778.6880000000001</v>
      </c>
      <c r="BE96" s="14">
        <v>2900.18</v>
      </c>
      <c r="BF96" s="14">
        <v>2924.009</v>
      </c>
      <c r="BG96" s="14">
        <v>3001.9609999999998</v>
      </c>
      <c r="BH96" s="14">
        <v>3092.779</v>
      </c>
      <c r="BI96" s="14">
        <v>3124.7280000000001</v>
      </c>
      <c r="BJ96" s="14">
        <v>3037.0129999999999</v>
      </c>
      <c r="BK96" s="14">
        <v>2917.8510000000001</v>
      </c>
      <c r="BL96" s="14">
        <v>2966.5770000000002</v>
      </c>
      <c r="BM96" s="14">
        <v>3079.1080000000002</v>
      </c>
      <c r="BN96" s="14">
        <v>3441.37</v>
      </c>
      <c r="BO96" s="14">
        <v>3550.212</v>
      </c>
      <c r="BP96" s="14">
        <v>3587.6779999999999</v>
      </c>
      <c r="BQ96" s="14">
        <v>3718.5039999999999</v>
      </c>
      <c r="BR96" s="14">
        <v>3711.4389999999999</v>
      </c>
      <c r="BS96" s="14">
        <v>3730.375</v>
      </c>
      <c r="BT96" s="14">
        <v>3767.9209999999998</v>
      </c>
      <c r="BU96" s="14">
        <v>3750.1439999999998</v>
      </c>
      <c r="BV96" s="14">
        <v>3754.4250000000002</v>
      </c>
      <c r="BW96" s="14">
        <v>3834.143</v>
      </c>
      <c r="BX96" s="14">
        <v>3881.5520000000001</v>
      </c>
      <c r="BY96" s="14">
        <v>3932.6390000000001</v>
      </c>
      <c r="BZ96" s="14">
        <v>3955.88</v>
      </c>
      <c r="CA96" s="14">
        <v>3968.7310000000002</v>
      </c>
      <c r="CB96" s="14">
        <v>4037.973</v>
      </c>
      <c r="CC96" s="14">
        <v>4156.8509999999997</v>
      </c>
      <c r="CD96" s="14">
        <v>4267.5550000000003</v>
      </c>
      <c r="CE96" s="14">
        <v>4373.2550000000001</v>
      </c>
      <c r="CF96" s="14">
        <v>4444.9570000000003</v>
      </c>
      <c r="CG96" s="14">
        <v>4510.1400000000003</v>
      </c>
      <c r="CH96" s="14">
        <v>4517.4530000000004</v>
      </c>
      <c r="CI96" s="14">
        <v>4611.01</v>
      </c>
      <c r="CJ96" s="14">
        <v>4796.3019999999997</v>
      </c>
      <c r="CK96" s="14">
        <v>4993.2749999999996</v>
      </c>
      <c r="CL96" s="14">
        <v>5145.3630000000003</v>
      </c>
      <c r="CM96" s="14">
        <v>5269.4309999999996</v>
      </c>
      <c r="CN96" s="14">
        <v>5637.8310000000001</v>
      </c>
      <c r="CO96" s="14">
        <v>5908.0410000000002</v>
      </c>
      <c r="CP96" s="14">
        <v>6080.6639999999998</v>
      </c>
      <c r="CQ96" s="14">
        <v>6261.4139999999998</v>
      </c>
      <c r="CR96" s="14">
        <v>6364.0479999999998</v>
      </c>
    </row>
    <row r="97" spans="54:80" x14ac:dyDescent="0.25">
      <c r="BB97" s="19"/>
    </row>
    <row r="98" spans="54:80" x14ac:dyDescent="0.25">
      <c r="BB98" s="19"/>
    </row>
    <row r="99" spans="54:80" x14ac:dyDescent="0.25">
      <c r="BB99" s="19"/>
      <c r="BW99" s="40"/>
      <c r="BX99" s="40"/>
      <c r="BY99" s="40"/>
      <c r="BZ99" s="40"/>
      <c r="CA99" s="40"/>
      <c r="CB99" s="40"/>
    </row>
    <row r="100" spans="54:80" x14ac:dyDescent="0.25">
      <c r="BB100" s="55"/>
      <c r="BC100" s="17"/>
      <c r="BD100" s="17"/>
      <c r="BE100" s="17"/>
      <c r="BV100" s="13"/>
      <c r="BW100" s="25"/>
      <c r="BX100" s="25"/>
      <c r="BY100" s="25"/>
      <c r="BZ100" s="25"/>
      <c r="CA100" s="25"/>
      <c r="CB100" s="25"/>
    </row>
    <row r="101" spans="54:80" x14ac:dyDescent="0.25">
      <c r="BB101" s="56"/>
      <c r="BC101" s="25"/>
      <c r="BD101" s="25"/>
      <c r="BE101" s="25"/>
      <c r="BV101" s="13"/>
      <c r="BW101" s="25"/>
      <c r="BX101" s="25"/>
      <c r="BY101" s="25"/>
      <c r="BZ101" s="25"/>
      <c r="CA101" s="25"/>
      <c r="CB101" s="25"/>
    </row>
    <row r="102" spans="54:80" x14ac:dyDescent="0.25">
      <c r="BB102" s="56"/>
      <c r="BC102" s="25"/>
      <c r="BD102" s="25"/>
      <c r="BE102" s="25"/>
      <c r="BV102" s="13"/>
      <c r="BW102" s="25"/>
      <c r="BX102" s="25"/>
      <c r="BY102" s="25"/>
      <c r="BZ102" s="25"/>
      <c r="CA102" s="25"/>
      <c r="CB102" s="25"/>
    </row>
    <row r="103" spans="54:80" x14ac:dyDescent="0.25">
      <c r="BB103" s="56"/>
      <c r="BC103" s="25"/>
      <c r="BD103" s="25"/>
      <c r="BE103" s="25"/>
      <c r="BV103" s="13"/>
      <c r="BW103" s="25"/>
      <c r="BX103" s="25"/>
      <c r="BY103" s="25"/>
      <c r="BZ103" s="25"/>
      <c r="CA103" s="25"/>
      <c r="CB103" s="25"/>
    </row>
    <row r="104" spans="54:80" x14ac:dyDescent="0.25">
      <c r="BB104" s="56"/>
      <c r="BC104" s="25"/>
      <c r="BD104" s="25"/>
      <c r="BE104" s="25"/>
      <c r="BV104" s="13"/>
      <c r="BW104" s="25"/>
      <c r="BX104" s="25"/>
      <c r="BY104" s="25"/>
      <c r="BZ104" s="25"/>
      <c r="CA104" s="25"/>
      <c r="CB104" s="25"/>
    </row>
    <row r="105" spans="54:80" x14ac:dyDescent="0.25">
      <c r="BB105" s="19"/>
      <c r="BV105" s="13"/>
      <c r="BW105" s="25"/>
      <c r="BX105" s="25"/>
      <c r="BY105" s="25"/>
      <c r="BZ105" s="25"/>
      <c r="CA105" s="25"/>
      <c r="CB105" s="25"/>
    </row>
    <row r="106" spans="54:80" x14ac:dyDescent="0.25">
      <c r="BB106" s="19"/>
      <c r="BV106" s="13"/>
      <c r="BW106" s="25"/>
      <c r="BX106" s="25"/>
      <c r="BY106" s="25"/>
      <c r="BZ106" s="25"/>
      <c r="CA106" s="25"/>
      <c r="CB106" s="25"/>
    </row>
    <row r="107" spans="54:80" x14ac:dyDescent="0.25">
      <c r="BB107" s="19"/>
      <c r="BV107" s="13"/>
      <c r="BW107" s="25"/>
      <c r="BX107" s="25"/>
      <c r="BY107" s="25"/>
      <c r="BZ107" s="25"/>
      <c r="CA107" s="25"/>
      <c r="CB107" s="25"/>
    </row>
    <row r="108" spans="54:80" x14ac:dyDescent="0.25">
      <c r="BB108" s="19"/>
    </row>
    <row r="109" spans="54:80" x14ac:dyDescent="0.25">
      <c r="BB109" s="19"/>
    </row>
    <row r="110" spans="54:80" x14ac:dyDescent="0.25">
      <c r="BB110" s="19"/>
    </row>
    <row r="111" spans="54:80" x14ac:dyDescent="0.25">
      <c r="BB111" s="19"/>
    </row>
    <row r="112" spans="54:80" x14ac:dyDescent="0.25">
      <c r="BB112" s="19"/>
    </row>
    <row r="113" spans="54:54" x14ac:dyDescent="0.25">
      <c r="BB113" s="19"/>
    </row>
    <row r="114" spans="54:54" x14ac:dyDescent="0.25">
      <c r="BB114" s="19"/>
    </row>
    <row r="115" spans="54:54" x14ac:dyDescent="0.25">
      <c r="BB115" s="19"/>
    </row>
    <row r="116" spans="54:54" x14ac:dyDescent="0.25">
      <c r="BB116" s="19"/>
    </row>
    <row r="117" spans="54:54" x14ac:dyDescent="0.25">
      <c r="BB117" s="19"/>
    </row>
    <row r="118" spans="54:54" x14ac:dyDescent="0.25">
      <c r="BB118" s="19"/>
    </row>
    <row r="119" spans="54:54" x14ac:dyDescent="0.25">
      <c r="BB119" s="19"/>
    </row>
    <row r="120" spans="54:54" x14ac:dyDescent="0.25">
      <c r="BB120" s="19"/>
    </row>
    <row r="121" spans="54:54" x14ac:dyDescent="0.25">
      <c r="BB121" s="19"/>
    </row>
    <row r="122" spans="54:54" x14ac:dyDescent="0.25">
      <c r="BB122" s="19"/>
    </row>
    <row r="123" spans="54:54" x14ac:dyDescent="0.25">
      <c r="BB123" s="19"/>
    </row>
    <row r="124" spans="54:54" x14ac:dyDescent="0.25">
      <c r="BB124" s="19"/>
    </row>
    <row r="125" spans="54:54" x14ac:dyDescent="0.25">
      <c r="BB125" s="19"/>
    </row>
    <row r="126" spans="54:54" x14ac:dyDescent="0.25">
      <c r="BB126" s="19"/>
    </row>
    <row r="127" spans="54:54" x14ac:dyDescent="0.25">
      <c r="BB127" s="19"/>
    </row>
    <row r="128" spans="54:54" x14ac:dyDescent="0.25">
      <c r="BB128" s="19"/>
    </row>
    <row r="129" spans="54:54" x14ac:dyDescent="0.25">
      <c r="BB129" s="19"/>
    </row>
    <row r="130" spans="54:54" x14ac:dyDescent="0.25">
      <c r="BB130" s="19"/>
    </row>
    <row r="131" spans="54:54" x14ac:dyDescent="0.25">
      <c r="BB131" s="19"/>
    </row>
    <row r="132" spans="54:54" x14ac:dyDescent="0.25">
      <c r="BB132" s="19"/>
    </row>
    <row r="133" spans="54:54" x14ac:dyDescent="0.25">
      <c r="BB133" s="19"/>
    </row>
    <row r="134" spans="54:54" x14ac:dyDescent="0.25">
      <c r="BB134" s="19"/>
    </row>
    <row r="135" spans="54:54" x14ac:dyDescent="0.25">
      <c r="BB135" s="19"/>
    </row>
    <row r="136" spans="54:54" x14ac:dyDescent="0.25">
      <c r="BB136" s="19"/>
    </row>
    <row r="137" spans="54:54" x14ac:dyDescent="0.25">
      <c r="BB137" s="19"/>
    </row>
    <row r="138" spans="54:54" x14ac:dyDescent="0.25">
      <c r="BB138" s="19"/>
    </row>
    <row r="139" spans="54:54" x14ac:dyDescent="0.25">
      <c r="BB139" s="19"/>
    </row>
    <row r="140" spans="54:54" x14ac:dyDescent="0.25">
      <c r="BB140" s="19"/>
    </row>
    <row r="141" spans="54:54" x14ac:dyDescent="0.25">
      <c r="BB141" s="19"/>
    </row>
    <row r="142" spans="54:54" x14ac:dyDescent="0.25">
      <c r="BB142" s="19"/>
    </row>
    <row r="143" spans="54:54" x14ac:dyDescent="0.25">
      <c r="BB143" s="19"/>
    </row>
    <row r="144" spans="54:54" x14ac:dyDescent="0.25">
      <c r="BB144" s="19"/>
    </row>
    <row r="145" spans="54:54" x14ac:dyDescent="0.25">
      <c r="BB145" s="19"/>
    </row>
    <row r="146" spans="54:54" x14ac:dyDescent="0.25">
      <c r="BB146" s="19"/>
    </row>
    <row r="147" spans="54:54" x14ac:dyDescent="0.25">
      <c r="BB147" s="19"/>
    </row>
    <row r="148" spans="54:54" x14ac:dyDescent="0.25">
      <c r="BB148" s="19"/>
    </row>
    <row r="149" spans="54:54" x14ac:dyDescent="0.25">
      <c r="BB149" s="19"/>
    </row>
    <row r="150" spans="54:54" x14ac:dyDescent="0.25">
      <c r="BB150" s="19"/>
    </row>
    <row r="151" spans="54:54" x14ac:dyDescent="0.25">
      <c r="BB151" s="19"/>
    </row>
    <row r="152" spans="54:54" x14ac:dyDescent="0.25">
      <c r="BB152" s="19"/>
    </row>
    <row r="153" spans="54:54" x14ac:dyDescent="0.25">
      <c r="BB153" s="19"/>
    </row>
    <row r="154" spans="54:54" x14ac:dyDescent="0.25">
      <c r="BB154" s="19"/>
    </row>
    <row r="155" spans="54:54" x14ac:dyDescent="0.25">
      <c r="BB155" s="19"/>
    </row>
    <row r="156" spans="54:54" x14ac:dyDescent="0.25">
      <c r="BB156" s="19"/>
    </row>
    <row r="157" spans="54:54" x14ac:dyDescent="0.25">
      <c r="BB157" s="19"/>
    </row>
    <row r="158" spans="54:54" x14ac:dyDescent="0.25">
      <c r="BB158" s="19"/>
    </row>
    <row r="159" spans="54:54" x14ac:dyDescent="0.25">
      <c r="BB159" s="19"/>
    </row>
    <row r="160" spans="54:54" x14ac:dyDescent="0.25">
      <c r="BB160" s="19"/>
    </row>
    <row r="161" spans="54:54" x14ac:dyDescent="0.25">
      <c r="BB161" s="19"/>
    </row>
    <row r="162" spans="54:54" x14ac:dyDescent="0.25">
      <c r="BB162" s="19"/>
    </row>
    <row r="163" spans="54:54" x14ac:dyDescent="0.25">
      <c r="BB163" s="19"/>
    </row>
    <row r="164" spans="54:54" x14ac:dyDescent="0.25">
      <c r="BB164" s="19"/>
    </row>
    <row r="165" spans="54:54" x14ac:dyDescent="0.25">
      <c r="BB165" s="19"/>
    </row>
    <row r="166" spans="54:54" x14ac:dyDescent="0.25">
      <c r="BB166" s="19"/>
    </row>
    <row r="167" spans="54:54" x14ac:dyDescent="0.25">
      <c r="BB167" s="19"/>
    </row>
    <row r="168" spans="54:54" x14ac:dyDescent="0.25">
      <c r="BB168" s="19"/>
    </row>
    <row r="169" spans="54:54" x14ac:dyDescent="0.25">
      <c r="BB169" s="19"/>
    </row>
    <row r="170" spans="54:54" x14ac:dyDescent="0.25">
      <c r="BB170" s="19"/>
    </row>
    <row r="171" spans="54:54" x14ac:dyDescent="0.25">
      <c r="BB171" s="19"/>
    </row>
    <row r="172" spans="54:54" x14ac:dyDescent="0.25">
      <c r="BB172" s="19"/>
    </row>
    <row r="173" spans="54:54" x14ac:dyDescent="0.25">
      <c r="BB173" s="19"/>
    </row>
    <row r="174" spans="54:54" x14ac:dyDescent="0.25">
      <c r="BB174" s="19"/>
    </row>
    <row r="175" spans="54:54" x14ac:dyDescent="0.25">
      <c r="BB175" s="19"/>
    </row>
    <row r="176" spans="54:54" x14ac:dyDescent="0.25">
      <c r="BB176" s="19"/>
    </row>
    <row r="177" spans="54:54" x14ac:dyDescent="0.25">
      <c r="BB177" s="19"/>
    </row>
    <row r="178" spans="54:54" x14ac:dyDescent="0.25">
      <c r="BB178" s="19"/>
    </row>
    <row r="179" spans="54:54" x14ac:dyDescent="0.25">
      <c r="BB179" s="19"/>
    </row>
    <row r="180" spans="54:54" x14ac:dyDescent="0.25">
      <c r="BB180" s="19"/>
    </row>
    <row r="181" spans="54:54" x14ac:dyDescent="0.25">
      <c r="BB181" s="19"/>
    </row>
    <row r="182" spans="54:54" x14ac:dyDescent="0.25">
      <c r="BB182" s="19"/>
    </row>
    <row r="183" spans="54:54" x14ac:dyDescent="0.25">
      <c r="BB183" s="19"/>
    </row>
    <row r="184" spans="54:54" x14ac:dyDescent="0.25">
      <c r="BB184" s="19"/>
    </row>
    <row r="185" spans="54:54" x14ac:dyDescent="0.25">
      <c r="BB185" s="19"/>
    </row>
    <row r="186" spans="54:54" x14ac:dyDescent="0.25">
      <c r="BB186" s="19"/>
    </row>
    <row r="187" spans="54:54" x14ac:dyDescent="0.25">
      <c r="BB187" s="19"/>
    </row>
    <row r="188" spans="54:54" x14ac:dyDescent="0.25">
      <c r="BB188" s="19"/>
    </row>
    <row r="189" spans="54:54" x14ac:dyDescent="0.25">
      <c r="BB189" s="19"/>
    </row>
    <row r="190" spans="54:54" x14ac:dyDescent="0.25">
      <c r="BB190" s="19"/>
    </row>
    <row r="191" spans="54:54" x14ac:dyDescent="0.25">
      <c r="BB191" s="19"/>
    </row>
    <row r="192" spans="54:54" x14ac:dyDescent="0.25">
      <c r="BB192" s="19"/>
    </row>
    <row r="193" spans="54:54" x14ac:dyDescent="0.25">
      <c r="BB193" s="19"/>
    </row>
    <row r="194" spans="54:54" x14ac:dyDescent="0.25">
      <c r="BB194" s="19"/>
    </row>
    <row r="195" spans="54:54" x14ac:dyDescent="0.25">
      <c r="BB195" s="19"/>
    </row>
    <row r="196" spans="54:54" x14ac:dyDescent="0.25">
      <c r="BB196" s="19"/>
    </row>
    <row r="197" spans="54:54" x14ac:dyDescent="0.25">
      <c r="BB197" s="19"/>
    </row>
    <row r="198" spans="54:54" x14ac:dyDescent="0.25">
      <c r="BB198" s="19"/>
    </row>
    <row r="199" spans="54:54" x14ac:dyDescent="0.25">
      <c r="BB199" s="19"/>
    </row>
    <row r="200" spans="54:54" x14ac:dyDescent="0.25">
      <c r="BB200" s="19"/>
    </row>
    <row r="201" spans="54:54" x14ac:dyDescent="0.25">
      <c r="BB201" s="19"/>
    </row>
    <row r="202" spans="54:54" x14ac:dyDescent="0.25">
      <c r="BB202" s="19"/>
    </row>
    <row r="203" spans="54:54" x14ac:dyDescent="0.25">
      <c r="BB203" s="19"/>
    </row>
    <row r="204" spans="54:54" x14ac:dyDescent="0.25">
      <c r="BB204" s="19"/>
    </row>
    <row r="205" spans="54:54" x14ac:dyDescent="0.25">
      <c r="BB205" s="19"/>
    </row>
    <row r="206" spans="54:54" x14ac:dyDescent="0.25">
      <c r="BB206" s="19"/>
    </row>
    <row r="207" spans="54:54" x14ac:dyDescent="0.25">
      <c r="BB207" s="19"/>
    </row>
    <row r="208" spans="54:54" x14ac:dyDescent="0.25">
      <c r="BB208" s="19"/>
    </row>
    <row r="209" spans="54:54" x14ac:dyDescent="0.25">
      <c r="BB209" s="19"/>
    </row>
    <row r="210" spans="54:54" x14ac:dyDescent="0.25">
      <c r="BB210" s="19"/>
    </row>
    <row r="211" spans="54:54" x14ac:dyDescent="0.25">
      <c r="BB211" s="19"/>
    </row>
    <row r="212" spans="54:54" x14ac:dyDescent="0.25">
      <c r="BB212" s="19"/>
    </row>
    <row r="213" spans="54:54" x14ac:dyDescent="0.25">
      <c r="BB213" s="19"/>
    </row>
    <row r="214" spans="54:54" x14ac:dyDescent="0.25">
      <c r="BB214" s="19"/>
    </row>
    <row r="215" spans="54:54" x14ac:dyDescent="0.25">
      <c r="BB215" s="19"/>
    </row>
    <row r="216" spans="54:54" x14ac:dyDescent="0.25">
      <c r="BB216" s="19"/>
    </row>
    <row r="217" spans="54:54" x14ac:dyDescent="0.25">
      <c r="BB217" s="19"/>
    </row>
    <row r="218" spans="54:54" x14ac:dyDescent="0.25">
      <c r="BB218" s="19"/>
    </row>
    <row r="219" spans="54:54" x14ac:dyDescent="0.25">
      <c r="BB219" s="19"/>
    </row>
    <row r="220" spans="54:54" x14ac:dyDescent="0.25">
      <c r="BB220" s="19"/>
    </row>
    <row r="221" spans="54:54" x14ac:dyDescent="0.25">
      <c r="BB221" s="19"/>
    </row>
    <row r="222" spans="54:54" x14ac:dyDescent="0.25">
      <c r="BB222" s="19"/>
    </row>
    <row r="223" spans="54:54" x14ac:dyDescent="0.25">
      <c r="BB223" s="19"/>
    </row>
    <row r="224" spans="54:54" x14ac:dyDescent="0.25">
      <c r="BB224" s="19"/>
    </row>
    <row r="225" spans="54:54" x14ac:dyDescent="0.25">
      <c r="BB225" s="19"/>
    </row>
    <row r="226" spans="54:54" x14ac:dyDescent="0.25">
      <c r="BB226" s="19"/>
    </row>
    <row r="227" spans="54:54" x14ac:dyDescent="0.25">
      <c r="BB227" s="19"/>
    </row>
    <row r="228" spans="54:54" x14ac:dyDescent="0.25">
      <c r="BB228" s="19"/>
    </row>
    <row r="229" spans="54:54" x14ac:dyDescent="0.25">
      <c r="BB229" s="19"/>
    </row>
    <row r="230" spans="54:54" x14ac:dyDescent="0.25">
      <c r="BB230" s="19"/>
    </row>
    <row r="231" spans="54:54" x14ac:dyDescent="0.25">
      <c r="BB231" s="19"/>
    </row>
    <row r="232" spans="54:54" x14ac:dyDescent="0.25">
      <c r="BB232" s="19"/>
    </row>
    <row r="233" spans="54:54" x14ac:dyDescent="0.25">
      <c r="BB233" s="19"/>
    </row>
    <row r="234" spans="54:54" x14ac:dyDescent="0.25">
      <c r="BB234" s="19"/>
    </row>
    <row r="235" spans="54:54" x14ac:dyDescent="0.25">
      <c r="BB235" s="19"/>
    </row>
    <row r="236" spans="54:54" x14ac:dyDescent="0.25">
      <c r="BB236" s="19"/>
    </row>
    <row r="237" spans="54:54" x14ac:dyDescent="0.25">
      <c r="BB237" s="19"/>
    </row>
    <row r="238" spans="54:54" x14ac:dyDescent="0.25">
      <c r="BB238" s="19"/>
    </row>
    <row r="239" spans="54:54" x14ac:dyDescent="0.25">
      <c r="BB239" s="19"/>
    </row>
    <row r="240" spans="54:54" x14ac:dyDescent="0.25">
      <c r="BB240" s="19"/>
    </row>
    <row r="241" spans="54:54" x14ac:dyDescent="0.25">
      <c r="BB241" s="19"/>
    </row>
    <row r="242" spans="54:54" x14ac:dyDescent="0.25">
      <c r="BB242" s="19"/>
    </row>
    <row r="243" spans="54:54" x14ac:dyDescent="0.25">
      <c r="BB243" s="19"/>
    </row>
    <row r="244" spans="54:54" x14ac:dyDescent="0.25">
      <c r="BB244" s="19"/>
    </row>
    <row r="245" spans="54:54" x14ac:dyDescent="0.25">
      <c r="BB245" s="19"/>
    </row>
    <row r="246" spans="54:54" x14ac:dyDescent="0.25">
      <c r="BB246" s="19"/>
    </row>
    <row r="247" spans="54:54" x14ac:dyDescent="0.25">
      <c r="BB247" s="19"/>
    </row>
    <row r="248" spans="54:54" x14ac:dyDescent="0.25">
      <c r="BB248" s="19"/>
    </row>
    <row r="249" spans="54:54" x14ac:dyDescent="0.25">
      <c r="BB249" s="19"/>
    </row>
    <row r="250" spans="54:54" x14ac:dyDescent="0.25">
      <c r="BB250" s="19"/>
    </row>
    <row r="251" spans="54:54" x14ac:dyDescent="0.25">
      <c r="BB251" s="19"/>
    </row>
    <row r="252" spans="54:54" x14ac:dyDescent="0.25">
      <c r="BB252" s="19"/>
    </row>
    <row r="253" spans="54:54" x14ac:dyDescent="0.25">
      <c r="BB253" s="19"/>
    </row>
    <row r="254" spans="54:54" x14ac:dyDescent="0.25">
      <c r="BB254" s="19"/>
    </row>
    <row r="255" spans="54:54" x14ac:dyDescent="0.25">
      <c r="BB255" s="19"/>
    </row>
    <row r="256" spans="54:54" x14ac:dyDescent="0.25">
      <c r="BB256" s="19"/>
    </row>
    <row r="257" spans="54:54" x14ac:dyDescent="0.25">
      <c r="BB257" s="19"/>
    </row>
    <row r="258" spans="54:54" x14ac:dyDescent="0.25">
      <c r="BB258" s="19"/>
    </row>
    <row r="259" spans="54:54" x14ac:dyDescent="0.25">
      <c r="BB259" s="19"/>
    </row>
    <row r="260" spans="54:54" x14ac:dyDescent="0.25">
      <c r="BB260" s="19"/>
    </row>
    <row r="261" spans="54:54" x14ac:dyDescent="0.25">
      <c r="BB261" s="19"/>
    </row>
    <row r="262" spans="54:54" x14ac:dyDescent="0.25">
      <c r="BB262" s="19"/>
    </row>
    <row r="263" spans="54:54" x14ac:dyDescent="0.25">
      <c r="BB263" s="19"/>
    </row>
    <row r="264" spans="54:54" x14ac:dyDescent="0.25">
      <c r="BB264" s="19"/>
    </row>
    <row r="265" spans="54:54" x14ac:dyDescent="0.25">
      <c r="BB265" s="19"/>
    </row>
    <row r="266" spans="54:54" x14ac:dyDescent="0.25">
      <c r="BB266" s="19"/>
    </row>
    <row r="267" spans="54:54" x14ac:dyDescent="0.25">
      <c r="BB267" s="19"/>
    </row>
    <row r="268" spans="54:54" x14ac:dyDescent="0.25">
      <c r="BB268" s="19"/>
    </row>
    <row r="269" spans="54:54" x14ac:dyDescent="0.25">
      <c r="BB269" s="19"/>
    </row>
    <row r="270" spans="54:54" x14ac:dyDescent="0.25">
      <c r="BB270" s="19"/>
    </row>
    <row r="271" spans="54:54" x14ac:dyDescent="0.25">
      <c r="BB271" s="19"/>
    </row>
    <row r="272" spans="54:54" x14ac:dyDescent="0.25">
      <c r="BB272" s="19"/>
    </row>
    <row r="273" spans="54:54" x14ac:dyDescent="0.25">
      <c r="BB273" s="19"/>
    </row>
    <row r="274" spans="54:54" x14ac:dyDescent="0.25">
      <c r="BB274" s="19"/>
    </row>
    <row r="275" spans="54:54" x14ac:dyDescent="0.25">
      <c r="BB275" s="19"/>
    </row>
    <row r="276" spans="54:54" x14ac:dyDescent="0.25">
      <c r="BB276" s="19"/>
    </row>
    <row r="277" spans="54:54" x14ac:dyDescent="0.25">
      <c r="BB277" s="19"/>
    </row>
    <row r="278" spans="54:54" x14ac:dyDescent="0.25">
      <c r="BB278" s="19"/>
    </row>
    <row r="279" spans="54:54" x14ac:dyDescent="0.25">
      <c r="BB279" s="19"/>
    </row>
    <row r="280" spans="54:54" x14ac:dyDescent="0.25">
      <c r="BB280" s="19"/>
    </row>
    <row r="281" spans="54:54" x14ac:dyDescent="0.25">
      <c r="BB281" s="19"/>
    </row>
    <row r="282" spans="54:54" x14ac:dyDescent="0.25">
      <c r="BB282" s="19"/>
    </row>
    <row r="283" spans="54:54" x14ac:dyDescent="0.25">
      <c r="BB283" s="19"/>
    </row>
    <row r="284" spans="54:54" x14ac:dyDescent="0.25">
      <c r="BB284" s="19"/>
    </row>
    <row r="285" spans="54:54" x14ac:dyDescent="0.25">
      <c r="BB285" s="19"/>
    </row>
    <row r="286" spans="54:54" x14ac:dyDescent="0.25">
      <c r="BB286" s="19"/>
    </row>
    <row r="287" spans="54:54" x14ac:dyDescent="0.25">
      <c r="BB287" s="19"/>
    </row>
    <row r="288" spans="54:54" x14ac:dyDescent="0.25">
      <c r="BB288" s="19"/>
    </row>
    <row r="289" spans="54:54" x14ac:dyDescent="0.25">
      <c r="BB289" s="19"/>
    </row>
    <row r="290" spans="54:54" x14ac:dyDescent="0.25">
      <c r="BB290" s="19"/>
    </row>
    <row r="291" spans="54:54" x14ac:dyDescent="0.25">
      <c r="BB291" s="19"/>
    </row>
    <row r="292" spans="54:54" x14ac:dyDescent="0.25">
      <c r="BB292" s="19"/>
    </row>
    <row r="293" spans="54:54" x14ac:dyDescent="0.25">
      <c r="BB293" s="19"/>
    </row>
    <row r="294" spans="54:54" x14ac:dyDescent="0.25">
      <c r="BB294" s="19"/>
    </row>
    <row r="295" spans="54:54" x14ac:dyDescent="0.25">
      <c r="BB295" s="19"/>
    </row>
    <row r="296" spans="54:54" x14ac:dyDescent="0.25">
      <c r="BB296" s="19"/>
    </row>
    <row r="297" spans="54:54" x14ac:dyDescent="0.25">
      <c r="BB297" s="19"/>
    </row>
    <row r="298" spans="54:54" x14ac:dyDescent="0.25">
      <c r="BB298" s="19"/>
    </row>
    <row r="299" spans="54:54" x14ac:dyDescent="0.25">
      <c r="BB299" s="19"/>
    </row>
    <row r="300" spans="54:54" x14ac:dyDescent="0.25">
      <c r="BB300" s="19"/>
    </row>
    <row r="301" spans="54:54" x14ac:dyDescent="0.25">
      <c r="BB301" s="19"/>
    </row>
    <row r="302" spans="54:54" x14ac:dyDescent="0.25">
      <c r="BB302" s="19"/>
    </row>
    <row r="303" spans="54:54" x14ac:dyDescent="0.25">
      <c r="BB303" s="19"/>
    </row>
    <row r="304" spans="54:54" x14ac:dyDescent="0.25">
      <c r="BB304" s="19"/>
    </row>
    <row r="305" spans="54:54" x14ac:dyDescent="0.25">
      <c r="BB305" s="19"/>
    </row>
    <row r="306" spans="54:54" x14ac:dyDescent="0.25">
      <c r="BB306" s="19"/>
    </row>
    <row r="307" spans="54:54" x14ac:dyDescent="0.25">
      <c r="BB307" s="19"/>
    </row>
    <row r="308" spans="54:54" x14ac:dyDescent="0.25">
      <c r="BB308" s="19"/>
    </row>
    <row r="309" spans="54:54" x14ac:dyDescent="0.25">
      <c r="BB309" s="19"/>
    </row>
    <row r="310" spans="54:54" x14ac:dyDescent="0.25">
      <c r="BB310" s="19"/>
    </row>
    <row r="311" spans="54:54" x14ac:dyDescent="0.25">
      <c r="BB311" s="19"/>
    </row>
    <row r="312" spans="54:54" x14ac:dyDescent="0.25">
      <c r="BB312" s="19"/>
    </row>
    <row r="313" spans="54:54" x14ac:dyDescent="0.25">
      <c r="BB313" s="19"/>
    </row>
    <row r="314" spans="54:54" x14ac:dyDescent="0.25">
      <c r="BB314" s="19"/>
    </row>
    <row r="315" spans="54:54" x14ac:dyDescent="0.25">
      <c r="BB315" s="19"/>
    </row>
    <row r="316" spans="54:54" x14ac:dyDescent="0.25">
      <c r="BB316" s="19"/>
    </row>
    <row r="317" spans="54:54" x14ac:dyDescent="0.25">
      <c r="BB317" s="19"/>
    </row>
    <row r="318" spans="54:54" x14ac:dyDescent="0.25">
      <c r="BB318" s="19"/>
    </row>
    <row r="319" spans="54:54" x14ac:dyDescent="0.25">
      <c r="BB319" s="19"/>
    </row>
    <row r="320" spans="54:54" x14ac:dyDescent="0.25">
      <c r="BB320" s="19"/>
    </row>
    <row r="321" spans="54:54" x14ac:dyDescent="0.25">
      <c r="BB321" s="19"/>
    </row>
    <row r="322" spans="54:54" x14ac:dyDescent="0.25">
      <c r="BB322" s="19"/>
    </row>
    <row r="323" spans="54:54" x14ac:dyDescent="0.25">
      <c r="BB323" s="19"/>
    </row>
    <row r="324" spans="54:54" x14ac:dyDescent="0.25">
      <c r="BB324" s="19"/>
    </row>
    <row r="325" spans="54:54" x14ac:dyDescent="0.25">
      <c r="BB325" s="19"/>
    </row>
    <row r="326" spans="54:54" x14ac:dyDescent="0.25">
      <c r="BB326" s="19"/>
    </row>
    <row r="327" spans="54:54" x14ac:dyDescent="0.25">
      <c r="BB327" s="19"/>
    </row>
    <row r="328" spans="54:54" x14ac:dyDescent="0.25">
      <c r="BB328" s="19"/>
    </row>
    <row r="329" spans="54:54" x14ac:dyDescent="0.25">
      <c r="BB329" s="19"/>
    </row>
    <row r="330" spans="54:54" x14ac:dyDescent="0.25">
      <c r="BB330" s="19"/>
    </row>
    <row r="331" spans="54:54" x14ac:dyDescent="0.25">
      <c r="BB331" s="19"/>
    </row>
    <row r="332" spans="54:54" x14ac:dyDescent="0.25">
      <c r="BB332" s="19"/>
    </row>
    <row r="333" spans="54:54" x14ac:dyDescent="0.25">
      <c r="BB333" s="19"/>
    </row>
    <row r="334" spans="54:54" x14ac:dyDescent="0.25">
      <c r="BB334" s="19"/>
    </row>
    <row r="335" spans="54:54" x14ac:dyDescent="0.25">
      <c r="BB335" s="19"/>
    </row>
    <row r="336" spans="54:54" x14ac:dyDescent="0.25">
      <c r="BB336" s="19"/>
    </row>
    <row r="337" spans="54:94" x14ac:dyDescent="0.25">
      <c r="BB337" s="19"/>
    </row>
    <row r="338" spans="54:94" x14ac:dyDescent="0.25">
      <c r="BB338" s="19"/>
    </row>
    <row r="339" spans="54:94" x14ac:dyDescent="0.25">
      <c r="BB339" s="19"/>
    </row>
    <row r="340" spans="54:94" x14ac:dyDescent="0.25">
      <c r="BB340" s="19"/>
    </row>
    <row r="341" spans="54:94" x14ac:dyDescent="0.25">
      <c r="BB341" s="19"/>
    </row>
    <row r="342" spans="54:94" x14ac:dyDescent="0.25">
      <c r="BB342" s="19"/>
    </row>
    <row r="345" spans="54:94" x14ac:dyDescent="0.25">
      <c r="CH345" s="48"/>
      <c r="CI345" s="48"/>
      <c r="CN345" s="48"/>
      <c r="CO345" s="48"/>
      <c r="CP345" s="48"/>
    </row>
    <row r="346" spans="54:94" x14ac:dyDescent="0.25">
      <c r="BV346" s="48"/>
      <c r="CH346" s="48"/>
      <c r="CI346" s="48"/>
      <c r="CN346" s="48"/>
      <c r="CO346" s="48"/>
      <c r="CP346" s="48"/>
    </row>
    <row r="347" spans="54:94" x14ac:dyDescent="0.25">
      <c r="BV347" s="48"/>
      <c r="CH347" s="48"/>
      <c r="CI347" s="48"/>
      <c r="CN347" s="48"/>
      <c r="CO347" s="48"/>
      <c r="CP347" s="48"/>
    </row>
    <row r="348" spans="54:94" x14ac:dyDescent="0.25">
      <c r="BV348" s="48"/>
      <c r="CH348" s="48"/>
      <c r="CI348" s="48"/>
      <c r="CN348" s="48"/>
      <c r="CO348" s="48"/>
      <c r="CP348" s="48"/>
    </row>
    <row r="349" spans="54:94" x14ac:dyDescent="0.25">
      <c r="BV349" s="48"/>
      <c r="CH349" s="48"/>
      <c r="CI349" s="48"/>
      <c r="CN349" s="48"/>
      <c r="CO349" s="48"/>
      <c r="CP349" s="48"/>
    </row>
    <row r="350" spans="54:94" x14ac:dyDescent="0.25">
      <c r="BV350" s="48"/>
      <c r="CH350" s="48"/>
      <c r="CI350" s="48"/>
      <c r="CN350" s="48"/>
      <c r="CO350" s="48"/>
      <c r="CP350" s="48"/>
    </row>
    <row r="351" spans="54:94" x14ac:dyDescent="0.25">
      <c r="BV351" s="48"/>
      <c r="CH351" s="48"/>
      <c r="CI351" s="48"/>
      <c r="CN351" s="48"/>
      <c r="CO351" s="48"/>
      <c r="CP351" s="48"/>
    </row>
    <row r="352" spans="54:94" x14ac:dyDescent="0.25">
      <c r="BV352" s="48"/>
      <c r="CH352" s="48"/>
      <c r="CI352" s="48"/>
      <c r="CN352" s="48"/>
      <c r="CO352" s="48"/>
      <c r="CP352" s="48"/>
    </row>
    <row r="353" spans="74:94" x14ac:dyDescent="0.25">
      <c r="BV353" s="48"/>
      <c r="CH353" s="48"/>
      <c r="CI353" s="48"/>
      <c r="CN353" s="48"/>
      <c r="CO353" s="48"/>
      <c r="CP353" s="48"/>
    </row>
    <row r="354" spans="74:94" x14ac:dyDescent="0.25">
      <c r="BV354" s="48"/>
      <c r="CH354" s="48"/>
      <c r="CI354" s="48"/>
      <c r="CN354" s="48"/>
      <c r="CO354" s="48"/>
      <c r="CP354" s="48"/>
    </row>
    <row r="355" spans="74:94" x14ac:dyDescent="0.25">
      <c r="BV355" s="48"/>
      <c r="CH355" s="48"/>
      <c r="CI355" s="48"/>
      <c r="CN355" s="48"/>
      <c r="CO355" s="48"/>
      <c r="CP355" s="48"/>
    </row>
    <row r="356" spans="74:94" x14ac:dyDescent="0.25">
      <c r="BV356" s="48"/>
      <c r="CH356" s="48"/>
      <c r="CI356" s="48"/>
      <c r="CN356" s="48"/>
      <c r="CO356" s="48"/>
      <c r="CP356" s="48"/>
    </row>
    <row r="357" spans="74:94" x14ac:dyDescent="0.25">
      <c r="BV357" s="48"/>
      <c r="CH357" s="48"/>
      <c r="CI357" s="48"/>
      <c r="CN357" s="48"/>
      <c r="CO357" s="48"/>
      <c r="CP357" s="48"/>
    </row>
    <row r="358" spans="74:94" x14ac:dyDescent="0.25">
      <c r="BV358" s="48"/>
      <c r="CH358" s="48"/>
      <c r="CI358" s="48"/>
      <c r="CN358" s="48"/>
      <c r="CO358" s="48"/>
      <c r="CP358" s="48"/>
    </row>
    <row r="359" spans="74:94" x14ac:dyDescent="0.25">
      <c r="BV359" s="48"/>
      <c r="CH359" s="48"/>
      <c r="CI359" s="48"/>
      <c r="CN359" s="48"/>
      <c r="CO359" s="48"/>
      <c r="CP359" s="48"/>
    </row>
    <row r="360" spans="74:94" x14ac:dyDescent="0.25">
      <c r="BV360" s="48"/>
      <c r="CH360" s="48"/>
      <c r="CI360" s="48"/>
      <c r="CN360" s="48"/>
      <c r="CO360" s="48"/>
      <c r="CP360" s="48"/>
    </row>
    <row r="361" spans="74:94" x14ac:dyDescent="0.25">
      <c r="BV361" s="48"/>
      <c r="CM361" s="48"/>
      <c r="CN361" s="48"/>
    </row>
    <row r="362" spans="74:94" x14ac:dyDescent="0.25">
      <c r="BV362" s="48"/>
      <c r="CH362" s="48"/>
    </row>
    <row r="363" spans="74:94" x14ac:dyDescent="0.25">
      <c r="BV363" s="48"/>
    </row>
    <row r="364" spans="74:94" x14ac:dyDescent="0.25">
      <c r="BV364" s="48"/>
    </row>
    <row r="365" spans="74:94" x14ac:dyDescent="0.25">
      <c r="BV365" s="48"/>
    </row>
    <row r="366" spans="74:94" x14ac:dyDescent="0.25">
      <c r="BV366" s="48"/>
    </row>
    <row r="367" spans="74:94" x14ac:dyDescent="0.25">
      <c r="BV367" s="48"/>
    </row>
    <row r="368" spans="74:94" x14ac:dyDescent="0.25">
      <c r="BV368" s="48"/>
    </row>
    <row r="369" spans="74:74" x14ac:dyDescent="0.25">
      <c r="BV369" s="48"/>
    </row>
    <row r="370" spans="74:74" x14ac:dyDescent="0.25">
      <c r="BV370" s="48"/>
    </row>
  </sheetData>
  <pageMargins left="0.23622047244094491" right="0.23622047244094491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3" r:id="rId4" name="Drop Down 41">
              <controlPr defaultSize="0" autoLine="0" autoPict="0">
                <anchor moveWithCells="1">
                  <from>
                    <xdr:col>2</xdr:col>
                    <xdr:colOff>28575</xdr:colOff>
                    <xdr:row>21</xdr:row>
                    <xdr:rowOff>523875</xdr:rowOff>
                  </from>
                  <to>
                    <xdr:col>3</xdr:col>
                    <xdr:colOff>38100</xdr:colOff>
                    <xdr:row>21</xdr:row>
                    <xdr:rowOff>742950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C50"/>
  <sheetViews>
    <sheetView workbookViewId="0">
      <selection activeCell="FF11" sqref="FF11:FZ11"/>
    </sheetView>
  </sheetViews>
  <sheetFormatPr defaultRowHeight="15" x14ac:dyDescent="0.25"/>
  <cols>
    <col min="1" max="11" width="8.7109375" customWidth="1"/>
    <col min="12" max="12" width="6.7109375" customWidth="1"/>
    <col min="13" max="13" width="10.7109375" customWidth="1"/>
    <col min="14" max="14" width="9.7109375" customWidth="1"/>
    <col min="149" max="149" width="10.42578125" customWidth="1"/>
    <col min="150" max="150" width="3.28515625" customWidth="1"/>
    <col min="151" max="151" width="26.5703125" bestFit="1" customWidth="1"/>
    <col min="205" max="205" width="4.28515625" customWidth="1"/>
    <col min="206" max="206" width="11.42578125" customWidth="1"/>
    <col min="207" max="207" width="10" customWidth="1"/>
    <col min="208" max="208" width="9.140625" customWidth="1"/>
  </cols>
  <sheetData>
    <row r="1" spans="1:211" ht="21" x14ac:dyDescent="0.35">
      <c r="A1" s="2"/>
      <c r="K1" s="42"/>
      <c r="L1" s="41" t="s">
        <v>1</v>
      </c>
      <c r="ES1" s="1" t="s">
        <v>0</v>
      </c>
      <c r="ET1" s="1"/>
    </row>
    <row r="2" spans="1:211" x14ac:dyDescent="0.25">
      <c r="ES2" s="1"/>
      <c r="ET2" s="1"/>
    </row>
    <row r="3" spans="1:211" x14ac:dyDescent="0.25">
      <c r="ES3" s="1" t="s">
        <v>2</v>
      </c>
      <c r="ET3" s="1"/>
    </row>
    <row r="4" spans="1:211" ht="19.5" thickBot="1" x14ac:dyDescent="0.35">
      <c r="A4" s="58" t="s">
        <v>4</v>
      </c>
      <c r="M4" s="3"/>
      <c r="N4" s="3"/>
      <c r="ES4" s="1" t="s">
        <v>3</v>
      </c>
      <c r="ET4" s="1"/>
    </row>
    <row r="5" spans="1:211" ht="28.5" customHeight="1" x14ac:dyDescent="0.3">
      <c r="A5" s="2"/>
      <c r="M5" s="108" t="str">
        <f>EU43</f>
        <v>Birmingham</v>
      </c>
      <c r="N5" s="110" t="s">
        <v>5</v>
      </c>
      <c r="O5" s="112" t="s">
        <v>6</v>
      </c>
      <c r="P5" s="11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S5" s="1"/>
      <c r="ET5" s="1"/>
    </row>
    <row r="6" spans="1:211" ht="18.75" x14ac:dyDescent="0.3">
      <c r="A6" s="58" t="str">
        <f>EU43</f>
        <v>Birmingham</v>
      </c>
      <c r="B6" s="81"/>
      <c r="M6" s="109"/>
      <c r="N6" s="111"/>
      <c r="O6" s="4" t="s">
        <v>7</v>
      </c>
      <c r="P6" s="5" t="s">
        <v>8</v>
      </c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HC6" s="6"/>
    </row>
    <row r="7" spans="1:211" x14ac:dyDescent="0.25">
      <c r="M7" s="9">
        <v>2016</v>
      </c>
      <c r="N7" s="10">
        <f>INDEX($EV$8:$GJ$40,MATCH($EU$43,$EU$8:$EU$40,0),MATCH(M7,$EV$7:$GJ$7,0))</f>
        <v>419.51900000000001</v>
      </c>
      <c r="O7" s="11" t="s">
        <v>11</v>
      </c>
      <c r="P7" s="12" t="s">
        <v>11</v>
      </c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S7" s="7" t="s">
        <v>9</v>
      </c>
      <c r="ET7" s="7"/>
      <c r="EU7" s="7" t="s">
        <v>10</v>
      </c>
      <c r="EV7" s="8">
        <v>2001</v>
      </c>
      <c r="EW7" s="8">
        <v>2002</v>
      </c>
      <c r="EX7" s="8">
        <v>2003</v>
      </c>
      <c r="EY7" s="8">
        <v>2004</v>
      </c>
      <c r="EZ7" s="8">
        <v>2005</v>
      </c>
      <c r="FA7" s="8">
        <v>2006</v>
      </c>
      <c r="FB7" s="8">
        <v>2007</v>
      </c>
      <c r="FC7" s="8">
        <v>2008</v>
      </c>
      <c r="FD7" s="8">
        <v>2009</v>
      </c>
      <c r="FE7" s="8">
        <v>2010</v>
      </c>
      <c r="FF7" s="8">
        <v>2011</v>
      </c>
      <c r="FG7" s="8">
        <v>2012</v>
      </c>
      <c r="FH7" s="8">
        <v>2013</v>
      </c>
      <c r="FI7" s="8">
        <v>2014</v>
      </c>
      <c r="FJ7" s="8">
        <v>2015</v>
      </c>
      <c r="FK7" s="8">
        <v>2016</v>
      </c>
      <c r="FL7" s="8">
        <v>2017</v>
      </c>
      <c r="FM7" s="8">
        <v>2018</v>
      </c>
      <c r="FN7" s="8">
        <v>2019</v>
      </c>
      <c r="FO7" s="8">
        <v>2020</v>
      </c>
      <c r="FP7" s="8">
        <v>2021</v>
      </c>
      <c r="FQ7" s="8">
        <v>2022</v>
      </c>
      <c r="FR7" s="8">
        <v>2023</v>
      </c>
      <c r="FS7" s="8">
        <v>2024</v>
      </c>
      <c r="FT7" s="8">
        <v>2025</v>
      </c>
      <c r="FU7" s="8">
        <v>2026</v>
      </c>
      <c r="FV7" s="8">
        <v>2027</v>
      </c>
      <c r="FW7" s="8">
        <v>2028</v>
      </c>
      <c r="FX7" s="8">
        <v>2029</v>
      </c>
      <c r="FY7" s="8">
        <v>2030</v>
      </c>
      <c r="FZ7" s="8">
        <v>2031</v>
      </c>
      <c r="GA7" s="8">
        <v>2032</v>
      </c>
      <c r="GB7" s="8">
        <v>2033</v>
      </c>
      <c r="GC7" s="8">
        <v>2034</v>
      </c>
      <c r="GD7" s="8">
        <v>2035</v>
      </c>
      <c r="GE7" s="8">
        <v>2036</v>
      </c>
      <c r="GF7" s="8">
        <v>2037</v>
      </c>
      <c r="GG7" s="8">
        <v>2038</v>
      </c>
      <c r="GH7" s="8">
        <v>2039</v>
      </c>
      <c r="GI7" s="8">
        <v>2040</v>
      </c>
      <c r="GJ7" s="8">
        <v>2041</v>
      </c>
    </row>
    <row r="8" spans="1:211" x14ac:dyDescent="0.25">
      <c r="M8" s="9">
        <v>2017</v>
      </c>
      <c r="N8" s="10">
        <f t="shared" ref="N8:N32" si="0">INDEX($EV$8:$GJ$40,MATCH($EU$43,$EU$8:$EU$40,0),MATCH(M8,$EV$7:$GJ$7,0))</f>
        <v>421.91500000000002</v>
      </c>
      <c r="O8" s="10">
        <f t="shared" ref="O8:O32" si="1">N8-$N$7</f>
        <v>2.396000000000015</v>
      </c>
      <c r="P8" s="15">
        <f t="shared" ref="P8:P32" si="2">(N8-$N$7)/$N$7*100</f>
        <v>0.5711302706194511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S8" s="13" t="s">
        <v>12</v>
      </c>
      <c r="ET8" s="13">
        <v>1</v>
      </c>
      <c r="EU8" s="13" t="s">
        <v>13</v>
      </c>
      <c r="EV8" s="14">
        <v>20450.962</v>
      </c>
      <c r="EW8" s="14">
        <v>20553.278999999999</v>
      </c>
      <c r="EX8" s="14">
        <v>20650.921999999999</v>
      </c>
      <c r="EY8" s="14">
        <v>20751.876</v>
      </c>
      <c r="EZ8" s="14">
        <v>20925.583999999999</v>
      </c>
      <c r="FA8" s="14">
        <v>21071.371999999999</v>
      </c>
      <c r="FB8" s="14">
        <v>21222.987000000001</v>
      </c>
      <c r="FC8" s="14">
        <v>21399.48</v>
      </c>
      <c r="FD8" s="14">
        <v>21561.433000000001</v>
      </c>
      <c r="FE8" s="14">
        <v>21742.058000000001</v>
      </c>
      <c r="FF8" s="14">
        <v>21976.219000000001</v>
      </c>
      <c r="FG8" s="14">
        <v>22130.585999999999</v>
      </c>
      <c r="FH8" s="14">
        <v>22291.302</v>
      </c>
      <c r="FI8" s="14">
        <v>22488.030999999999</v>
      </c>
      <c r="FJ8" s="14">
        <v>22681.605</v>
      </c>
      <c r="FK8" s="14">
        <v>22884.531999999999</v>
      </c>
      <c r="FL8" s="14">
        <v>23053.706999999999</v>
      </c>
      <c r="FM8" s="14">
        <v>23222.538</v>
      </c>
      <c r="FN8" s="14">
        <v>23385.949000000001</v>
      </c>
      <c r="FO8" s="14">
        <v>23540.422999999999</v>
      </c>
      <c r="FP8" s="14">
        <v>23684.091</v>
      </c>
      <c r="FQ8" s="14">
        <v>23863.128000000001</v>
      </c>
      <c r="FR8" s="14">
        <v>24035.512999999999</v>
      </c>
      <c r="FS8" s="14">
        <v>24207.045999999998</v>
      </c>
      <c r="FT8" s="14">
        <v>24371.85</v>
      </c>
      <c r="FU8" s="14">
        <v>24536.867999999999</v>
      </c>
      <c r="FV8" s="14">
        <v>24706.107</v>
      </c>
      <c r="FW8" s="14">
        <v>24873.010999999999</v>
      </c>
      <c r="FX8" s="14">
        <v>25034.814999999999</v>
      </c>
      <c r="FY8" s="14">
        <v>25192.942999999999</v>
      </c>
      <c r="FZ8" s="14">
        <v>25353.944</v>
      </c>
      <c r="GA8" s="14">
        <v>25514.764999999999</v>
      </c>
      <c r="GB8" s="14">
        <v>25673.13</v>
      </c>
      <c r="GC8" s="14">
        <v>25827.008999999998</v>
      </c>
      <c r="GD8" s="14">
        <v>25978.284</v>
      </c>
      <c r="GE8" s="14">
        <v>26131.442999999999</v>
      </c>
      <c r="GF8" s="14">
        <v>26279.960999999999</v>
      </c>
      <c r="GG8" s="14">
        <v>26428.106</v>
      </c>
      <c r="GH8" s="14">
        <v>26572.271000000001</v>
      </c>
      <c r="GI8" s="14">
        <v>26712.228999999999</v>
      </c>
      <c r="GJ8" s="14">
        <v>26854.971000000001</v>
      </c>
    </row>
    <row r="9" spans="1:211" x14ac:dyDescent="0.25">
      <c r="M9" s="9">
        <v>2018</v>
      </c>
      <c r="N9" s="10">
        <f t="shared" si="0"/>
        <v>424.30599999999998</v>
      </c>
      <c r="O9" s="10">
        <f t="shared" si="1"/>
        <v>4.7869999999999777</v>
      </c>
      <c r="P9" s="15">
        <f t="shared" si="2"/>
        <v>1.1410687001065452</v>
      </c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S9" s="13" t="s">
        <v>14</v>
      </c>
      <c r="ET9" s="13">
        <v>2</v>
      </c>
      <c r="EU9" s="13" t="s">
        <v>15</v>
      </c>
      <c r="EV9" s="14">
        <v>2145.7190000000001</v>
      </c>
      <c r="EW9" s="14">
        <v>2154.8829999999998</v>
      </c>
      <c r="EX9" s="14">
        <v>2164.855</v>
      </c>
      <c r="EY9" s="14">
        <v>2173.3339999999998</v>
      </c>
      <c r="EZ9" s="14">
        <v>2188.2220000000002</v>
      </c>
      <c r="FA9" s="14">
        <v>2202.4059999999999</v>
      </c>
      <c r="FB9" s="14">
        <v>2215.84</v>
      </c>
      <c r="FC9" s="14">
        <v>2233.5880000000002</v>
      </c>
      <c r="FD9" s="14">
        <v>2246.8009999999999</v>
      </c>
      <c r="FE9" s="14">
        <v>2263.14</v>
      </c>
      <c r="FF9" s="14">
        <v>2285.1089999999999</v>
      </c>
      <c r="FG9" s="14">
        <v>2298.578</v>
      </c>
      <c r="FH9" s="14">
        <v>2311.0990000000002</v>
      </c>
      <c r="FI9" s="14">
        <v>2327.556</v>
      </c>
      <c r="FJ9" s="14">
        <v>2344.3670000000002</v>
      </c>
      <c r="FK9" s="14">
        <v>2366.5250000000001</v>
      </c>
      <c r="FL9" s="14">
        <v>2382.3220000000001</v>
      </c>
      <c r="FM9" s="14">
        <v>2397.971</v>
      </c>
      <c r="FN9" s="14">
        <v>2413.2759999999998</v>
      </c>
      <c r="FO9" s="14">
        <v>2427.9119999999998</v>
      </c>
      <c r="FP9" s="14">
        <v>2441.5320000000002</v>
      </c>
      <c r="FQ9" s="14">
        <v>2458.0419999999999</v>
      </c>
      <c r="FR9" s="14">
        <v>2473.9299999999998</v>
      </c>
      <c r="FS9" s="14">
        <v>2489.931</v>
      </c>
      <c r="FT9" s="14">
        <v>2505.3069999999998</v>
      </c>
      <c r="FU9" s="14">
        <v>2520.33</v>
      </c>
      <c r="FV9" s="14">
        <v>2535.7429999999999</v>
      </c>
      <c r="FW9" s="14">
        <v>2551.1179999999999</v>
      </c>
      <c r="FX9" s="14">
        <v>2566.2130000000002</v>
      </c>
      <c r="FY9" s="14">
        <v>2580.8629999999998</v>
      </c>
      <c r="FZ9" s="14">
        <v>2595.8679999999999</v>
      </c>
      <c r="GA9" s="14">
        <v>2611.1170000000002</v>
      </c>
      <c r="GB9" s="14">
        <v>2626.2420000000002</v>
      </c>
      <c r="GC9" s="14">
        <v>2640.9349999999999</v>
      </c>
      <c r="GD9" s="14">
        <v>2655.2979999999998</v>
      </c>
      <c r="GE9" s="14">
        <v>2670.1869999999999</v>
      </c>
      <c r="GF9" s="14">
        <v>2684.9369999999999</v>
      </c>
      <c r="GG9" s="14">
        <v>2699.7950000000001</v>
      </c>
      <c r="GH9" s="14">
        <v>2714.3040000000001</v>
      </c>
      <c r="GI9" s="14">
        <v>2728.384</v>
      </c>
      <c r="GJ9" s="14">
        <v>2742.933</v>
      </c>
    </row>
    <row r="10" spans="1:211" x14ac:dyDescent="0.25">
      <c r="M10" s="9">
        <v>2019</v>
      </c>
      <c r="N10" s="10">
        <f t="shared" si="0"/>
        <v>426.56599999999997</v>
      </c>
      <c r="O10" s="10">
        <f t="shared" si="1"/>
        <v>7.0469999999999686</v>
      </c>
      <c r="P10" s="15">
        <f t="shared" si="2"/>
        <v>1.6797808919262223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S10" s="13" t="s">
        <v>16</v>
      </c>
      <c r="ET10" s="13">
        <v>3</v>
      </c>
      <c r="EU10" s="13" t="s">
        <v>17</v>
      </c>
      <c r="EV10" s="14">
        <v>1032.2239999999999</v>
      </c>
      <c r="EW10" s="14">
        <v>1033.9100000000001</v>
      </c>
      <c r="EX10" s="14">
        <v>1034.9590000000001</v>
      </c>
      <c r="EY10" s="14">
        <v>1035.5509999999999</v>
      </c>
      <c r="EZ10" s="14">
        <v>1041.1780000000001</v>
      </c>
      <c r="FA10" s="14">
        <v>1044.6849999999999</v>
      </c>
      <c r="FB10" s="14">
        <v>1048.327</v>
      </c>
      <c r="FC10" s="14">
        <v>1055.47</v>
      </c>
      <c r="FD10" s="14">
        <v>1061.825</v>
      </c>
      <c r="FE10" s="14">
        <v>1069.4079999999999</v>
      </c>
      <c r="FF10" s="14">
        <v>1080.1320000000001</v>
      </c>
      <c r="FG10" s="14">
        <v>1086.498</v>
      </c>
      <c r="FH10" s="14">
        <v>1092.277</v>
      </c>
      <c r="FI10" s="14">
        <v>1099.769</v>
      </c>
      <c r="FJ10" s="14">
        <v>1108.3689999999999</v>
      </c>
      <c r="FK10" s="14">
        <v>1119.973</v>
      </c>
      <c r="FL10" s="14">
        <v>1127.739</v>
      </c>
      <c r="FM10" s="14">
        <v>1135.6030000000001</v>
      </c>
      <c r="FN10" s="14">
        <v>1143.28</v>
      </c>
      <c r="FO10" s="14">
        <v>1150.518</v>
      </c>
      <c r="FP10" s="14">
        <v>1157.3499999999999</v>
      </c>
      <c r="FQ10" s="14">
        <v>1165.8579999999999</v>
      </c>
      <c r="FR10" s="14">
        <v>1174.19</v>
      </c>
      <c r="FS10" s="14">
        <v>1182.6610000000001</v>
      </c>
      <c r="FT10" s="14">
        <v>1190.9290000000001</v>
      </c>
      <c r="FU10" s="14">
        <v>1199.242</v>
      </c>
      <c r="FV10" s="14">
        <v>1207.643</v>
      </c>
      <c r="FW10" s="14">
        <v>1216.2529999999999</v>
      </c>
      <c r="FX10" s="14">
        <v>1224.8330000000001</v>
      </c>
      <c r="FY10" s="14">
        <v>1233.2729999999999</v>
      </c>
      <c r="FZ10" s="14">
        <v>1242.03</v>
      </c>
      <c r="GA10" s="14">
        <v>1251.0650000000001</v>
      </c>
      <c r="GB10" s="14">
        <v>1260.0429999999999</v>
      </c>
      <c r="GC10" s="14">
        <v>1268.854</v>
      </c>
      <c r="GD10" s="14">
        <v>1277.4639999999999</v>
      </c>
      <c r="GE10" s="14">
        <v>1286.375</v>
      </c>
      <c r="GF10" s="14">
        <v>1295.357</v>
      </c>
      <c r="GG10" s="14">
        <v>1304.373</v>
      </c>
      <c r="GH10" s="14">
        <v>1313.1790000000001</v>
      </c>
      <c r="GI10" s="14">
        <v>1321.7329999999999</v>
      </c>
      <c r="GJ10" s="14">
        <v>1330.4069999999999</v>
      </c>
    </row>
    <row r="11" spans="1:211" x14ac:dyDescent="0.25">
      <c r="M11" s="9">
        <v>2020</v>
      </c>
      <c r="N11" s="10">
        <f t="shared" si="0"/>
        <v>428.78399999999999</v>
      </c>
      <c r="O11" s="10">
        <f t="shared" si="1"/>
        <v>9.2649999999999864</v>
      </c>
      <c r="P11" s="15">
        <f t="shared" si="2"/>
        <v>2.2084816182342126</v>
      </c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S11" s="1" t="s">
        <v>18</v>
      </c>
      <c r="ET11" s="13">
        <v>4</v>
      </c>
      <c r="EU11" s="1" t="s">
        <v>19</v>
      </c>
      <c r="EV11" s="16">
        <v>392.03300000000002</v>
      </c>
      <c r="EW11" s="16">
        <v>392.34399999999999</v>
      </c>
      <c r="EX11" s="16">
        <v>392.13200000000001</v>
      </c>
      <c r="EY11" s="16">
        <v>391.81900000000002</v>
      </c>
      <c r="EZ11" s="16">
        <v>394.64</v>
      </c>
      <c r="FA11" s="16">
        <v>395.12799999999999</v>
      </c>
      <c r="FB11" s="16">
        <v>396.68</v>
      </c>
      <c r="FC11" s="16">
        <v>398.95800000000003</v>
      </c>
      <c r="FD11" s="16">
        <v>401.37099999999998</v>
      </c>
      <c r="FE11" s="16">
        <v>404.00700000000001</v>
      </c>
      <c r="FF11" s="16">
        <v>407.77</v>
      </c>
      <c r="FG11" s="16">
        <v>409.935</v>
      </c>
      <c r="FH11" s="16">
        <v>411.09899999999999</v>
      </c>
      <c r="FI11" s="16">
        <v>413.178</v>
      </c>
      <c r="FJ11" s="16">
        <v>415.59199999999998</v>
      </c>
      <c r="FK11" s="16">
        <v>419.51900000000001</v>
      </c>
      <c r="FL11" s="16">
        <v>421.91500000000002</v>
      </c>
      <c r="FM11" s="16">
        <v>424.30599999999998</v>
      </c>
      <c r="FN11" s="16">
        <v>426.56599999999997</v>
      </c>
      <c r="FO11" s="16">
        <v>428.78399999999999</v>
      </c>
      <c r="FP11" s="16">
        <v>430.90899999999999</v>
      </c>
      <c r="FQ11" s="16">
        <v>434.16800000000001</v>
      </c>
      <c r="FR11" s="16">
        <v>437.37799999999999</v>
      </c>
      <c r="FS11" s="16">
        <v>440.62799999999999</v>
      </c>
      <c r="FT11" s="16">
        <v>443.88200000000001</v>
      </c>
      <c r="FU11" s="16">
        <v>447.17099999999999</v>
      </c>
      <c r="FV11" s="16">
        <v>450.46</v>
      </c>
      <c r="FW11" s="16">
        <v>453.84100000000001</v>
      </c>
      <c r="FX11" s="16">
        <v>457.221</v>
      </c>
      <c r="FY11" s="16">
        <v>460.53300000000002</v>
      </c>
      <c r="FZ11" s="16">
        <v>463.95100000000002</v>
      </c>
      <c r="GA11" s="16">
        <v>467.53500000000003</v>
      </c>
      <c r="GB11" s="16">
        <v>471.08300000000003</v>
      </c>
      <c r="GC11" s="16">
        <v>474.54199999999997</v>
      </c>
      <c r="GD11" s="16">
        <v>477.88</v>
      </c>
      <c r="GE11" s="16">
        <v>481.31900000000002</v>
      </c>
      <c r="GF11" s="16">
        <v>484.79399999999998</v>
      </c>
      <c r="GG11" s="16">
        <v>488.25200000000001</v>
      </c>
      <c r="GH11" s="16">
        <v>491.61599999999999</v>
      </c>
      <c r="GI11" s="16">
        <v>494.85599999999999</v>
      </c>
      <c r="GJ11" s="16">
        <v>498.13600000000002</v>
      </c>
    </row>
    <row r="12" spans="1:211" x14ac:dyDescent="0.25">
      <c r="M12" s="9">
        <v>2021</v>
      </c>
      <c r="N12" s="10">
        <f t="shared" si="0"/>
        <v>430.90899999999999</v>
      </c>
      <c r="O12" s="10">
        <f t="shared" si="1"/>
        <v>11.389999999999986</v>
      </c>
      <c r="P12" s="15">
        <f t="shared" si="2"/>
        <v>2.7150140994805927</v>
      </c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S12" s="13" t="s">
        <v>20</v>
      </c>
      <c r="ET12" s="13">
        <v>5</v>
      </c>
      <c r="EU12" s="13" t="s">
        <v>21</v>
      </c>
      <c r="EV12" s="14">
        <v>35.033999999999999</v>
      </c>
      <c r="EW12" s="14">
        <v>35.529000000000003</v>
      </c>
      <c r="EX12" s="14">
        <v>35.972999999999999</v>
      </c>
      <c r="EY12" s="14">
        <v>36.295999999999999</v>
      </c>
      <c r="EZ12" s="14">
        <v>36.612000000000002</v>
      </c>
      <c r="FA12" s="14">
        <v>36.96</v>
      </c>
      <c r="FB12" s="14">
        <v>37.42</v>
      </c>
      <c r="FC12" s="14">
        <v>37.71</v>
      </c>
      <c r="FD12" s="14">
        <v>37.929000000000002</v>
      </c>
      <c r="FE12" s="14">
        <v>38.158999999999999</v>
      </c>
      <c r="FF12" s="14">
        <v>38.246000000000002</v>
      </c>
      <c r="FG12" s="14">
        <v>38.545999999999999</v>
      </c>
      <c r="FH12" s="14">
        <v>38.735999999999997</v>
      </c>
      <c r="FI12" s="14">
        <v>39.079000000000001</v>
      </c>
      <c r="FJ12" s="14">
        <v>39.28</v>
      </c>
      <c r="FK12" s="14">
        <v>39.753</v>
      </c>
      <c r="FL12" s="14">
        <v>40.067</v>
      </c>
      <c r="FM12" s="14">
        <v>40.378999999999998</v>
      </c>
      <c r="FN12" s="14">
        <v>40.695999999999998</v>
      </c>
      <c r="FO12" s="14">
        <v>40.996000000000002</v>
      </c>
      <c r="FP12" s="14">
        <v>41.287999999999997</v>
      </c>
      <c r="FQ12" s="14">
        <v>41.591000000000001</v>
      </c>
      <c r="FR12" s="14">
        <v>41.886000000000003</v>
      </c>
      <c r="FS12" s="14">
        <v>42.198</v>
      </c>
      <c r="FT12" s="14">
        <v>42.491</v>
      </c>
      <c r="FU12" s="14">
        <v>42.779000000000003</v>
      </c>
      <c r="FV12" s="14">
        <v>43.066000000000003</v>
      </c>
      <c r="FW12" s="14">
        <v>43.345999999999997</v>
      </c>
      <c r="FX12" s="14">
        <v>43.628999999999998</v>
      </c>
      <c r="FY12" s="14">
        <v>43.917999999999999</v>
      </c>
      <c r="FZ12" s="14">
        <v>44.197000000000003</v>
      </c>
      <c r="GA12" s="14">
        <v>44.476999999999997</v>
      </c>
      <c r="GB12" s="14">
        <v>44.749000000000002</v>
      </c>
      <c r="GC12" s="14">
        <v>45.014000000000003</v>
      </c>
      <c r="GD12" s="14">
        <v>45.286000000000001</v>
      </c>
      <c r="GE12" s="14">
        <v>45.558999999999997</v>
      </c>
      <c r="GF12" s="14">
        <v>45.826000000000001</v>
      </c>
      <c r="GG12" s="14">
        <v>46.094999999999999</v>
      </c>
      <c r="GH12" s="14">
        <v>46.353000000000002</v>
      </c>
      <c r="GI12" s="14">
        <v>46.613999999999997</v>
      </c>
      <c r="GJ12" s="14">
        <v>46.884</v>
      </c>
    </row>
    <row r="13" spans="1:211" x14ac:dyDescent="0.25">
      <c r="M13" s="9">
        <v>2022</v>
      </c>
      <c r="N13" s="10">
        <f t="shared" si="0"/>
        <v>434.16800000000001</v>
      </c>
      <c r="O13" s="10">
        <f t="shared" si="1"/>
        <v>14.649000000000001</v>
      </c>
      <c r="P13" s="15">
        <f t="shared" si="2"/>
        <v>3.491856149542691</v>
      </c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S13" s="13" t="s">
        <v>22</v>
      </c>
      <c r="ET13" s="13">
        <v>6</v>
      </c>
      <c r="EU13" s="13" t="s">
        <v>23</v>
      </c>
      <c r="EV13" s="14">
        <v>36.802999999999997</v>
      </c>
      <c r="EW13" s="14">
        <v>37.244</v>
      </c>
      <c r="EX13" s="14">
        <v>37.716000000000001</v>
      </c>
      <c r="EY13" s="14">
        <v>38.054000000000002</v>
      </c>
      <c r="EZ13" s="14">
        <v>38.408000000000001</v>
      </c>
      <c r="FA13" s="14">
        <v>38.579000000000001</v>
      </c>
      <c r="FB13" s="14">
        <v>38.854999999999997</v>
      </c>
      <c r="FC13" s="14">
        <v>39.235999999999997</v>
      </c>
      <c r="FD13" s="14">
        <v>39.598999999999997</v>
      </c>
      <c r="FE13" s="14">
        <v>39.948</v>
      </c>
      <c r="FF13" s="14">
        <v>40.531999999999996</v>
      </c>
      <c r="FG13" s="14">
        <v>40.884999999999998</v>
      </c>
      <c r="FH13" s="14">
        <v>41.13</v>
      </c>
      <c r="FI13" s="14">
        <v>41.476999999999997</v>
      </c>
      <c r="FJ13" s="14">
        <v>41.679000000000002</v>
      </c>
      <c r="FK13" s="14">
        <v>41.960999999999999</v>
      </c>
      <c r="FL13" s="14">
        <v>42.238</v>
      </c>
      <c r="FM13" s="14">
        <v>42.465000000000003</v>
      </c>
      <c r="FN13" s="14">
        <v>42.695</v>
      </c>
      <c r="FO13" s="14">
        <v>42.902000000000001</v>
      </c>
      <c r="FP13" s="14">
        <v>43.087000000000003</v>
      </c>
      <c r="FQ13" s="14">
        <v>43.298000000000002</v>
      </c>
      <c r="FR13" s="14">
        <v>43.472000000000001</v>
      </c>
      <c r="FS13" s="14">
        <v>43.658999999999999</v>
      </c>
      <c r="FT13" s="14">
        <v>43.811999999999998</v>
      </c>
      <c r="FU13" s="14">
        <v>43.972000000000001</v>
      </c>
      <c r="FV13" s="14">
        <v>44.137999999999998</v>
      </c>
      <c r="FW13" s="14">
        <v>44.280999999999999</v>
      </c>
      <c r="FX13" s="14">
        <v>44.435000000000002</v>
      </c>
      <c r="FY13" s="14">
        <v>44.557000000000002</v>
      </c>
      <c r="FZ13" s="14">
        <v>44.695999999999998</v>
      </c>
      <c r="GA13" s="14">
        <v>44.834000000000003</v>
      </c>
      <c r="GB13" s="14">
        <v>44.978999999999999</v>
      </c>
      <c r="GC13" s="14">
        <v>45.124000000000002</v>
      </c>
      <c r="GD13" s="14">
        <v>45.244999999999997</v>
      </c>
      <c r="GE13" s="14">
        <v>45.387</v>
      </c>
      <c r="GF13" s="14">
        <v>45.518000000000001</v>
      </c>
      <c r="GG13" s="14">
        <v>45.658999999999999</v>
      </c>
      <c r="GH13" s="14">
        <v>45.8</v>
      </c>
      <c r="GI13" s="14">
        <v>45.917999999999999</v>
      </c>
      <c r="GJ13" s="14">
        <v>46.048000000000002</v>
      </c>
    </row>
    <row r="14" spans="1:211" x14ac:dyDescent="0.25">
      <c r="M14" s="9">
        <v>2023</v>
      </c>
      <c r="N14" s="10">
        <f t="shared" si="0"/>
        <v>437.37799999999999</v>
      </c>
      <c r="O14" s="10">
        <f t="shared" si="1"/>
        <v>17.85899999999998</v>
      </c>
      <c r="P14" s="15">
        <f t="shared" si="2"/>
        <v>4.2570181565078054</v>
      </c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S14" s="13" t="s">
        <v>24</v>
      </c>
      <c r="ET14" s="13">
        <v>7</v>
      </c>
      <c r="EU14" s="13" t="s">
        <v>25</v>
      </c>
      <c r="EV14" s="14">
        <v>122.42100000000001</v>
      </c>
      <c r="EW14" s="14">
        <v>122.3</v>
      </c>
      <c r="EX14" s="14">
        <v>122.336</v>
      </c>
      <c r="EY14" s="14">
        <v>121.67400000000001</v>
      </c>
      <c r="EZ14" s="14">
        <v>122.127</v>
      </c>
      <c r="FA14" s="14">
        <v>122.714</v>
      </c>
      <c r="FB14" s="14">
        <v>123.036</v>
      </c>
      <c r="FC14" s="14">
        <v>124.15900000000001</v>
      </c>
      <c r="FD14" s="14">
        <v>124.845</v>
      </c>
      <c r="FE14" s="14">
        <v>125.98699999999999</v>
      </c>
      <c r="FF14" s="14">
        <v>127.55</v>
      </c>
      <c r="FG14" s="14">
        <v>129.29900000000001</v>
      </c>
      <c r="FH14" s="14">
        <v>131.46600000000001</v>
      </c>
      <c r="FI14" s="14">
        <v>133.69800000000001</v>
      </c>
      <c r="FJ14" s="14">
        <v>136.94499999999999</v>
      </c>
      <c r="FK14" s="14">
        <v>140.11699999999999</v>
      </c>
      <c r="FL14" s="14">
        <v>142.357</v>
      </c>
      <c r="FM14" s="14">
        <v>144.679</v>
      </c>
      <c r="FN14" s="14">
        <v>146.97</v>
      </c>
      <c r="FO14" s="14">
        <v>149.13300000000001</v>
      </c>
      <c r="FP14" s="14">
        <v>151.089</v>
      </c>
      <c r="FQ14" s="14">
        <v>153.04300000000001</v>
      </c>
      <c r="FR14" s="14">
        <v>155.00700000000001</v>
      </c>
      <c r="FS14" s="14">
        <v>157.006</v>
      </c>
      <c r="FT14" s="14">
        <v>158.97</v>
      </c>
      <c r="FU14" s="14">
        <v>160.929</v>
      </c>
      <c r="FV14" s="14">
        <v>162.852</v>
      </c>
      <c r="FW14" s="14">
        <v>164.81800000000001</v>
      </c>
      <c r="FX14" s="14">
        <v>166.755</v>
      </c>
      <c r="FY14" s="14">
        <v>168.68100000000001</v>
      </c>
      <c r="FZ14" s="14">
        <v>170.61799999999999</v>
      </c>
      <c r="GA14" s="14">
        <v>172.54</v>
      </c>
      <c r="GB14" s="14">
        <v>174.43100000000001</v>
      </c>
      <c r="GC14" s="14">
        <v>176.26499999999999</v>
      </c>
      <c r="GD14" s="14">
        <v>178.09899999999999</v>
      </c>
      <c r="GE14" s="14">
        <v>179.952</v>
      </c>
      <c r="GF14" s="14">
        <v>181.80099999999999</v>
      </c>
      <c r="GG14" s="14">
        <v>183.637</v>
      </c>
      <c r="GH14" s="14">
        <v>185.41300000000001</v>
      </c>
      <c r="GI14" s="14">
        <v>187.16499999999999</v>
      </c>
      <c r="GJ14" s="14">
        <v>188.91499999999999</v>
      </c>
    </row>
    <row r="15" spans="1:211" x14ac:dyDescent="0.25">
      <c r="M15" s="9">
        <v>2024</v>
      </c>
      <c r="N15" s="10">
        <f t="shared" si="0"/>
        <v>440.62799999999999</v>
      </c>
      <c r="O15" s="10">
        <f t="shared" si="1"/>
        <v>21.10899999999998</v>
      </c>
      <c r="P15" s="15">
        <f t="shared" si="2"/>
        <v>5.0317148925316797</v>
      </c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S15" s="13" t="s">
        <v>26</v>
      </c>
      <c r="ET15" s="13">
        <v>8</v>
      </c>
      <c r="EU15" s="13" t="s">
        <v>27</v>
      </c>
      <c r="EV15" s="14">
        <v>124.146</v>
      </c>
      <c r="EW15" s="14">
        <v>124.52200000000001</v>
      </c>
      <c r="EX15" s="14">
        <v>124.554</v>
      </c>
      <c r="EY15" s="14">
        <v>124.905</v>
      </c>
      <c r="EZ15" s="14">
        <v>125.416</v>
      </c>
      <c r="FA15" s="14">
        <v>125.89100000000001</v>
      </c>
      <c r="FB15" s="14">
        <v>126.289</v>
      </c>
      <c r="FC15" s="14">
        <v>127.057</v>
      </c>
      <c r="FD15" s="14">
        <v>127.613</v>
      </c>
      <c r="FE15" s="14">
        <v>128.14400000000001</v>
      </c>
      <c r="FF15" s="14">
        <v>129.41</v>
      </c>
      <c r="FG15" s="14">
        <v>129.90600000000001</v>
      </c>
      <c r="FH15" s="14">
        <v>130.255</v>
      </c>
      <c r="FI15" s="14">
        <v>130.934</v>
      </c>
      <c r="FJ15" s="14">
        <v>131.32400000000001</v>
      </c>
      <c r="FK15" s="14">
        <v>132.10499999999999</v>
      </c>
      <c r="FL15" s="14">
        <v>132.66300000000001</v>
      </c>
      <c r="FM15" s="14">
        <v>133.18799999999999</v>
      </c>
      <c r="FN15" s="14">
        <v>133.74100000000001</v>
      </c>
      <c r="FO15" s="14">
        <v>134.21600000000001</v>
      </c>
      <c r="FP15" s="14">
        <v>134.68199999999999</v>
      </c>
      <c r="FQ15" s="14">
        <v>135.208</v>
      </c>
      <c r="FR15" s="14">
        <v>135.66</v>
      </c>
      <c r="FS15" s="14">
        <v>136.13499999999999</v>
      </c>
      <c r="FT15" s="14">
        <v>136.54900000000001</v>
      </c>
      <c r="FU15" s="14">
        <v>136.965</v>
      </c>
      <c r="FV15" s="14">
        <v>137.398</v>
      </c>
      <c r="FW15" s="14">
        <v>137.816</v>
      </c>
      <c r="FX15" s="14">
        <v>138.23599999999999</v>
      </c>
      <c r="FY15" s="14">
        <v>138.65299999999999</v>
      </c>
      <c r="FZ15" s="14">
        <v>139.11699999999999</v>
      </c>
      <c r="GA15" s="14">
        <v>139.59399999999999</v>
      </c>
      <c r="GB15" s="14">
        <v>140.08000000000001</v>
      </c>
      <c r="GC15" s="14">
        <v>140.57499999999999</v>
      </c>
      <c r="GD15" s="14">
        <v>141.05600000000001</v>
      </c>
      <c r="GE15" s="14">
        <v>141.58600000000001</v>
      </c>
      <c r="GF15" s="14">
        <v>142.14099999999999</v>
      </c>
      <c r="GG15" s="14">
        <v>142.71899999999999</v>
      </c>
      <c r="GH15" s="14">
        <v>143.304</v>
      </c>
      <c r="GI15" s="14">
        <v>143.876</v>
      </c>
      <c r="GJ15" s="14">
        <v>144.464</v>
      </c>
    </row>
    <row r="16" spans="1:211" x14ac:dyDescent="0.25">
      <c r="M16" s="9">
        <v>2025</v>
      </c>
      <c r="N16" s="10">
        <f t="shared" si="0"/>
        <v>443.88200000000001</v>
      </c>
      <c r="O16" s="10">
        <f t="shared" si="1"/>
        <v>24.363</v>
      </c>
      <c r="P16" s="15">
        <f t="shared" si="2"/>
        <v>5.8073651014614356</v>
      </c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S16" s="13" t="s">
        <v>28</v>
      </c>
      <c r="ET16" s="13">
        <v>9</v>
      </c>
      <c r="EU16" s="13" t="s">
        <v>29</v>
      </c>
      <c r="EV16" s="14">
        <v>42.424999999999997</v>
      </c>
      <c r="EW16" s="14">
        <v>42.664999999999999</v>
      </c>
      <c r="EX16" s="14">
        <v>43.606000000000002</v>
      </c>
      <c r="EY16" s="14">
        <v>43.948</v>
      </c>
      <c r="EZ16" s="14">
        <v>44.35</v>
      </c>
      <c r="FA16" s="14">
        <v>44.784999999999997</v>
      </c>
      <c r="FB16" s="14">
        <v>45.335000000000001</v>
      </c>
      <c r="FC16" s="14">
        <v>46.066000000000003</v>
      </c>
      <c r="FD16" s="14">
        <v>46.465000000000003</v>
      </c>
      <c r="FE16" s="14">
        <v>46.994999999999997</v>
      </c>
      <c r="FF16" s="14">
        <v>47.094000000000001</v>
      </c>
      <c r="FG16" s="14">
        <v>47.475000000000001</v>
      </c>
      <c r="FH16" s="14">
        <v>47.762999999999998</v>
      </c>
      <c r="FI16" s="14">
        <v>48.167999999999999</v>
      </c>
      <c r="FJ16" s="14">
        <v>48.502000000000002</v>
      </c>
      <c r="FK16" s="14">
        <v>48.853999999999999</v>
      </c>
      <c r="FL16" s="14">
        <v>49.194000000000003</v>
      </c>
      <c r="FM16" s="14">
        <v>49.518999999999998</v>
      </c>
      <c r="FN16" s="14">
        <v>49.819000000000003</v>
      </c>
      <c r="FO16" s="14">
        <v>50.133000000000003</v>
      </c>
      <c r="FP16" s="14">
        <v>50.412999999999997</v>
      </c>
      <c r="FQ16" s="14">
        <v>50.723999999999997</v>
      </c>
      <c r="FR16" s="14">
        <v>51.02</v>
      </c>
      <c r="FS16" s="14">
        <v>51.304000000000002</v>
      </c>
      <c r="FT16" s="14">
        <v>51.594000000000001</v>
      </c>
      <c r="FU16" s="14">
        <v>51.863</v>
      </c>
      <c r="FV16" s="14">
        <v>52.143999999999998</v>
      </c>
      <c r="FW16" s="14">
        <v>52.420999999999999</v>
      </c>
      <c r="FX16" s="14">
        <v>52.698999999999998</v>
      </c>
      <c r="FY16" s="14">
        <v>52.969000000000001</v>
      </c>
      <c r="FZ16" s="14">
        <v>53.23</v>
      </c>
      <c r="GA16" s="14">
        <v>53.5</v>
      </c>
      <c r="GB16" s="14">
        <v>53.765000000000001</v>
      </c>
      <c r="GC16" s="14">
        <v>54.036000000000001</v>
      </c>
      <c r="GD16" s="14">
        <v>54.298999999999999</v>
      </c>
      <c r="GE16" s="14">
        <v>54.561999999999998</v>
      </c>
      <c r="GF16" s="14">
        <v>54.825000000000003</v>
      </c>
      <c r="GG16" s="14">
        <v>55.08</v>
      </c>
      <c r="GH16" s="14">
        <v>55.335000000000001</v>
      </c>
      <c r="GI16" s="14">
        <v>55.573999999999998</v>
      </c>
      <c r="GJ16" s="14">
        <v>55.826999999999998</v>
      </c>
    </row>
    <row r="17" spans="1:192" x14ac:dyDescent="0.25">
      <c r="M17" s="9">
        <v>2026</v>
      </c>
      <c r="N17" s="10">
        <f t="shared" si="0"/>
        <v>447.17099999999999</v>
      </c>
      <c r="O17" s="10">
        <f t="shared" si="1"/>
        <v>27.651999999999987</v>
      </c>
      <c r="P17" s="15">
        <f t="shared" si="2"/>
        <v>6.591358198317594</v>
      </c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S17" s="13" t="s">
        <v>30</v>
      </c>
      <c r="ET17" s="13">
        <v>10</v>
      </c>
      <c r="EU17" s="13" t="s">
        <v>31</v>
      </c>
      <c r="EV17" s="14">
        <v>73.849000000000004</v>
      </c>
      <c r="EW17" s="14">
        <v>74.096000000000004</v>
      </c>
      <c r="EX17" s="14">
        <v>74.319000000000003</v>
      </c>
      <c r="EY17" s="14">
        <v>74.659000000000006</v>
      </c>
      <c r="EZ17" s="14">
        <v>74.936000000000007</v>
      </c>
      <c r="FA17" s="14">
        <v>75.644000000000005</v>
      </c>
      <c r="FB17" s="14">
        <v>76.322000000000003</v>
      </c>
      <c r="FC17" s="14">
        <v>77.13</v>
      </c>
      <c r="FD17" s="14">
        <v>77.355999999999995</v>
      </c>
      <c r="FE17" s="14">
        <v>77.733000000000004</v>
      </c>
      <c r="FF17" s="14">
        <v>78.191999999999993</v>
      </c>
      <c r="FG17" s="14">
        <v>78.864999999999995</v>
      </c>
      <c r="FH17" s="14">
        <v>79.328000000000003</v>
      </c>
      <c r="FI17" s="14">
        <v>79.944000000000003</v>
      </c>
      <c r="FJ17" s="14">
        <v>80.462999999999994</v>
      </c>
      <c r="FK17" s="14">
        <v>81.102000000000004</v>
      </c>
      <c r="FL17" s="14">
        <v>81.569999999999993</v>
      </c>
      <c r="FM17" s="14">
        <v>82.046999999999997</v>
      </c>
      <c r="FN17" s="14">
        <v>82.537999999999997</v>
      </c>
      <c r="FO17" s="14">
        <v>82.989000000000004</v>
      </c>
      <c r="FP17" s="14">
        <v>83.408000000000001</v>
      </c>
      <c r="FQ17" s="14">
        <v>84.01</v>
      </c>
      <c r="FR17" s="14">
        <v>84.588999999999999</v>
      </c>
      <c r="FS17" s="14">
        <v>85.183000000000007</v>
      </c>
      <c r="FT17" s="14">
        <v>85.742000000000004</v>
      </c>
      <c r="FU17" s="14">
        <v>86.277000000000001</v>
      </c>
      <c r="FV17" s="14">
        <v>86.82</v>
      </c>
      <c r="FW17" s="14">
        <v>87.358999999999995</v>
      </c>
      <c r="FX17" s="14">
        <v>87.876999999999995</v>
      </c>
      <c r="FY17" s="14">
        <v>88.361999999999995</v>
      </c>
      <c r="FZ17" s="14">
        <v>88.852000000000004</v>
      </c>
      <c r="GA17" s="14">
        <v>89.322999999999993</v>
      </c>
      <c r="GB17" s="14">
        <v>89.795000000000002</v>
      </c>
      <c r="GC17" s="14">
        <v>90.231999999999999</v>
      </c>
      <c r="GD17" s="14">
        <v>90.668000000000006</v>
      </c>
      <c r="GE17" s="14">
        <v>91.114999999999995</v>
      </c>
      <c r="GF17" s="14">
        <v>91.531000000000006</v>
      </c>
      <c r="GG17" s="14">
        <v>91.942999999999998</v>
      </c>
      <c r="GH17" s="14">
        <v>92.331000000000003</v>
      </c>
      <c r="GI17" s="14">
        <v>92.697000000000003</v>
      </c>
      <c r="GJ17" s="14">
        <v>93.09</v>
      </c>
    </row>
    <row r="18" spans="1:192" x14ac:dyDescent="0.25">
      <c r="M18" s="9">
        <v>2027</v>
      </c>
      <c r="N18" s="10">
        <f t="shared" si="0"/>
        <v>450.46</v>
      </c>
      <c r="O18" s="10">
        <f t="shared" si="1"/>
        <v>30.940999999999974</v>
      </c>
      <c r="P18" s="15">
        <f t="shared" si="2"/>
        <v>7.3753512951737532</v>
      </c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S18" s="13" t="s">
        <v>32</v>
      </c>
      <c r="ET18" s="13">
        <v>11</v>
      </c>
      <c r="EU18" s="13" t="s">
        <v>33</v>
      </c>
      <c r="EV18" s="14">
        <v>37.341000000000001</v>
      </c>
      <c r="EW18" s="14">
        <v>37.621000000000002</v>
      </c>
      <c r="EX18" s="14">
        <v>37.962000000000003</v>
      </c>
      <c r="EY18" s="14">
        <v>38.448</v>
      </c>
      <c r="EZ18" s="14">
        <v>38.814999999999998</v>
      </c>
      <c r="FA18" s="14">
        <v>39.320999999999998</v>
      </c>
      <c r="FB18" s="14">
        <v>39.703000000000003</v>
      </c>
      <c r="FC18" s="14">
        <v>40.164999999999999</v>
      </c>
      <c r="FD18" s="14">
        <v>40.475000000000001</v>
      </c>
      <c r="FE18" s="14">
        <v>40.741999999999997</v>
      </c>
      <c r="FF18" s="14">
        <v>41.264000000000003</v>
      </c>
      <c r="FG18" s="14">
        <v>41.488</v>
      </c>
      <c r="FH18" s="14">
        <v>41.801000000000002</v>
      </c>
      <c r="FI18" s="14">
        <v>42.076999999999998</v>
      </c>
      <c r="FJ18" s="14">
        <v>42.386000000000003</v>
      </c>
      <c r="FK18" s="14">
        <v>42.56</v>
      </c>
      <c r="FL18" s="14">
        <v>42.82</v>
      </c>
      <c r="FM18" s="14">
        <v>43.058999999999997</v>
      </c>
      <c r="FN18" s="14">
        <v>43.268999999999998</v>
      </c>
      <c r="FO18" s="14">
        <v>43.496000000000002</v>
      </c>
      <c r="FP18" s="14">
        <v>43.691000000000003</v>
      </c>
      <c r="FQ18" s="14">
        <v>43.954000000000001</v>
      </c>
      <c r="FR18" s="14">
        <v>44.192</v>
      </c>
      <c r="FS18" s="14">
        <v>44.405999999999999</v>
      </c>
      <c r="FT18" s="14">
        <v>44.61</v>
      </c>
      <c r="FU18" s="14">
        <v>44.808</v>
      </c>
      <c r="FV18" s="14">
        <v>44.991</v>
      </c>
      <c r="FW18" s="14">
        <v>45.167000000000002</v>
      </c>
      <c r="FX18" s="14">
        <v>45.317999999999998</v>
      </c>
      <c r="FY18" s="14">
        <v>45.457999999999998</v>
      </c>
      <c r="FZ18" s="14">
        <v>45.625999999999998</v>
      </c>
      <c r="GA18" s="14">
        <v>45.768999999999998</v>
      </c>
      <c r="GB18" s="14">
        <v>45.914000000000001</v>
      </c>
      <c r="GC18" s="14">
        <v>46.066000000000003</v>
      </c>
      <c r="GD18" s="14">
        <v>46.22</v>
      </c>
      <c r="GE18" s="14">
        <v>46.39</v>
      </c>
      <c r="GF18" s="14">
        <v>46.551000000000002</v>
      </c>
      <c r="GG18" s="14">
        <v>46.720999999999997</v>
      </c>
      <c r="GH18" s="14">
        <v>46.889000000000003</v>
      </c>
      <c r="GI18" s="14">
        <v>47.061</v>
      </c>
      <c r="GJ18" s="14">
        <v>47.246000000000002</v>
      </c>
    </row>
    <row r="19" spans="1:192" x14ac:dyDescent="0.25">
      <c r="M19" s="9">
        <v>2028</v>
      </c>
      <c r="N19" s="10">
        <f t="shared" si="0"/>
        <v>453.84100000000001</v>
      </c>
      <c r="O19" s="10">
        <f t="shared" si="1"/>
        <v>34.322000000000003</v>
      </c>
      <c r="P19" s="15">
        <f t="shared" si="2"/>
        <v>8.1812742688650566</v>
      </c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S19" s="13" t="s">
        <v>34</v>
      </c>
      <c r="ET19" s="13">
        <v>12</v>
      </c>
      <c r="EU19" s="13" t="s">
        <v>35</v>
      </c>
      <c r="EV19" s="14">
        <v>30.027000000000001</v>
      </c>
      <c r="EW19" s="14">
        <v>30.324999999999999</v>
      </c>
      <c r="EX19" s="14">
        <v>30.498999999999999</v>
      </c>
      <c r="EY19" s="14">
        <v>30.687999999999999</v>
      </c>
      <c r="EZ19" s="14">
        <v>30.876000000000001</v>
      </c>
      <c r="FA19" s="14">
        <v>31.053000000000001</v>
      </c>
      <c r="FB19" s="14">
        <v>31.231000000000002</v>
      </c>
      <c r="FC19" s="14">
        <v>31.387</v>
      </c>
      <c r="FD19" s="14">
        <v>31.457000000000001</v>
      </c>
      <c r="FE19" s="14">
        <v>31.725000000000001</v>
      </c>
      <c r="FF19" s="14">
        <v>32.194000000000003</v>
      </c>
      <c r="FG19" s="14">
        <v>32.438000000000002</v>
      </c>
      <c r="FH19" s="14">
        <v>32.701000000000001</v>
      </c>
      <c r="FI19" s="14">
        <v>33.100999999999999</v>
      </c>
      <c r="FJ19" s="14">
        <v>33.225000000000001</v>
      </c>
      <c r="FK19" s="14">
        <v>33.481000000000002</v>
      </c>
      <c r="FL19" s="14">
        <v>33.741999999999997</v>
      </c>
      <c r="FM19" s="14">
        <v>33.997999999999998</v>
      </c>
      <c r="FN19" s="14">
        <v>34.26</v>
      </c>
      <c r="FO19" s="14">
        <v>34.491</v>
      </c>
      <c r="FP19" s="14">
        <v>34.710999999999999</v>
      </c>
      <c r="FQ19" s="14">
        <v>34.975999999999999</v>
      </c>
      <c r="FR19" s="14">
        <v>35.238999999999997</v>
      </c>
      <c r="FS19" s="14">
        <v>35.497999999999998</v>
      </c>
      <c r="FT19" s="14">
        <v>35.741999999999997</v>
      </c>
      <c r="FU19" s="14">
        <v>35.984000000000002</v>
      </c>
      <c r="FV19" s="14">
        <v>36.231000000000002</v>
      </c>
      <c r="FW19" s="14">
        <v>36.481000000000002</v>
      </c>
      <c r="FX19" s="14">
        <v>36.722000000000001</v>
      </c>
      <c r="FY19" s="14">
        <v>36.951000000000001</v>
      </c>
      <c r="FZ19" s="14">
        <v>37.173999999999999</v>
      </c>
      <c r="GA19" s="14">
        <v>37.389000000000003</v>
      </c>
      <c r="GB19" s="14">
        <v>37.604999999999997</v>
      </c>
      <c r="GC19" s="14">
        <v>37.805</v>
      </c>
      <c r="GD19" s="14">
        <v>38.006999999999998</v>
      </c>
      <c r="GE19" s="14">
        <v>38.200000000000003</v>
      </c>
      <c r="GF19" s="14">
        <v>38.380000000000003</v>
      </c>
      <c r="GG19" s="14">
        <v>38.561999999999998</v>
      </c>
      <c r="GH19" s="14">
        <v>38.738</v>
      </c>
      <c r="GI19" s="14">
        <v>38.914000000000001</v>
      </c>
      <c r="GJ19" s="14">
        <v>39.090000000000003</v>
      </c>
    </row>
    <row r="20" spans="1:192" x14ac:dyDescent="0.25">
      <c r="M20" s="9">
        <v>2029</v>
      </c>
      <c r="N20" s="10">
        <f t="shared" si="0"/>
        <v>457.221</v>
      </c>
      <c r="O20" s="10">
        <f t="shared" si="1"/>
        <v>37.701999999999998</v>
      </c>
      <c r="P20" s="15">
        <f t="shared" si="2"/>
        <v>8.9869588743298863</v>
      </c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S20" s="13" t="s">
        <v>36</v>
      </c>
      <c r="ET20" s="13">
        <v>13</v>
      </c>
      <c r="EU20" s="13" t="s">
        <v>37</v>
      </c>
      <c r="EV20" s="14">
        <v>50.395000000000003</v>
      </c>
      <c r="EW20" s="14">
        <v>50.545999999999999</v>
      </c>
      <c r="EX20" s="14">
        <v>50.837000000000003</v>
      </c>
      <c r="EY20" s="14">
        <v>51.036000000000001</v>
      </c>
      <c r="EZ20" s="14">
        <v>51.262999999999998</v>
      </c>
      <c r="FA20" s="14">
        <v>51.438000000000002</v>
      </c>
      <c r="FB20" s="14">
        <v>51.677999999999997</v>
      </c>
      <c r="FC20" s="14">
        <v>51.790999999999997</v>
      </c>
      <c r="FD20" s="14">
        <v>51.807000000000002</v>
      </c>
      <c r="FE20" s="14">
        <v>52.054000000000002</v>
      </c>
      <c r="FF20" s="14">
        <v>52.436</v>
      </c>
      <c r="FG20" s="14">
        <v>52.701000000000001</v>
      </c>
      <c r="FH20" s="14">
        <v>53.097999999999999</v>
      </c>
      <c r="FI20" s="14">
        <v>53.587000000000003</v>
      </c>
      <c r="FJ20" s="14">
        <v>54.04</v>
      </c>
      <c r="FK20" s="14">
        <v>54.616</v>
      </c>
      <c r="FL20" s="14">
        <v>55.051000000000002</v>
      </c>
      <c r="FM20" s="14">
        <v>55.427999999999997</v>
      </c>
      <c r="FN20" s="14">
        <v>55.795999999999999</v>
      </c>
      <c r="FO20" s="14">
        <v>56.167999999999999</v>
      </c>
      <c r="FP20" s="14">
        <v>56.505000000000003</v>
      </c>
      <c r="FQ20" s="14">
        <v>56.854999999999997</v>
      </c>
      <c r="FR20" s="14">
        <v>57.19</v>
      </c>
      <c r="FS20" s="14">
        <v>57.524999999999999</v>
      </c>
      <c r="FT20" s="14">
        <v>57.866999999999997</v>
      </c>
      <c r="FU20" s="14">
        <v>58.168999999999997</v>
      </c>
      <c r="FV20" s="14">
        <v>58.491</v>
      </c>
      <c r="FW20" s="14">
        <v>58.825000000000003</v>
      </c>
      <c r="FX20" s="14">
        <v>59.125</v>
      </c>
      <c r="FY20" s="14">
        <v>59.423999999999999</v>
      </c>
      <c r="FZ20" s="14">
        <v>59.722000000000001</v>
      </c>
      <c r="GA20" s="14">
        <v>60.011000000000003</v>
      </c>
      <c r="GB20" s="14">
        <v>60.298999999999999</v>
      </c>
      <c r="GC20" s="14">
        <v>60.576999999999998</v>
      </c>
      <c r="GD20" s="14">
        <v>60.845999999999997</v>
      </c>
      <c r="GE20" s="14">
        <v>61.128</v>
      </c>
      <c r="GF20" s="14">
        <v>61.4</v>
      </c>
      <c r="GG20" s="14">
        <v>61.670999999999999</v>
      </c>
      <c r="GH20" s="14">
        <v>61.936999999999998</v>
      </c>
      <c r="GI20" s="14">
        <v>62.195</v>
      </c>
      <c r="GJ20" s="14">
        <v>62.47</v>
      </c>
    </row>
    <row r="21" spans="1:192" x14ac:dyDescent="0.25">
      <c r="M21" s="9">
        <v>2030</v>
      </c>
      <c r="N21" s="10">
        <f t="shared" si="0"/>
        <v>460.53300000000002</v>
      </c>
      <c r="O21" s="10">
        <f t="shared" si="1"/>
        <v>41.01400000000001</v>
      </c>
      <c r="P21" s="15">
        <f t="shared" si="2"/>
        <v>9.7764344403948353</v>
      </c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S21" s="13" t="s">
        <v>38</v>
      </c>
      <c r="ET21" s="13">
        <v>14</v>
      </c>
      <c r="EU21" s="13" t="s">
        <v>39</v>
      </c>
      <c r="EV21" s="14">
        <v>24.940999999999999</v>
      </c>
      <c r="EW21" s="14">
        <v>25.074000000000002</v>
      </c>
      <c r="EX21" s="14">
        <v>25.132999999999999</v>
      </c>
      <c r="EY21" s="14">
        <v>25.27</v>
      </c>
      <c r="EZ21" s="14">
        <v>25.375</v>
      </c>
      <c r="FA21" s="14">
        <v>25.452999999999999</v>
      </c>
      <c r="FB21" s="14">
        <v>25.484000000000002</v>
      </c>
      <c r="FC21" s="14">
        <v>25.634</v>
      </c>
      <c r="FD21" s="14">
        <v>25.741</v>
      </c>
      <c r="FE21" s="14">
        <v>25.766999999999999</v>
      </c>
      <c r="FF21" s="14">
        <v>25.774999999999999</v>
      </c>
      <c r="FG21" s="14">
        <v>25.911999999999999</v>
      </c>
      <c r="FH21" s="14">
        <v>25.954000000000001</v>
      </c>
      <c r="FI21" s="14">
        <v>26.175000000000001</v>
      </c>
      <c r="FJ21" s="14">
        <v>26.353999999999999</v>
      </c>
      <c r="FK21" s="14">
        <v>26.591999999999999</v>
      </c>
      <c r="FL21" s="14">
        <v>26.759</v>
      </c>
      <c r="FM21" s="14">
        <v>26.922000000000001</v>
      </c>
      <c r="FN21" s="14">
        <v>27.074999999999999</v>
      </c>
      <c r="FO21" s="14">
        <v>27.215</v>
      </c>
      <c r="FP21" s="14">
        <v>27.350999999999999</v>
      </c>
      <c r="FQ21" s="14">
        <v>27.529</v>
      </c>
      <c r="FR21" s="14">
        <v>27.693000000000001</v>
      </c>
      <c r="FS21" s="14">
        <v>27.844999999999999</v>
      </c>
      <c r="FT21" s="14">
        <v>27.989000000000001</v>
      </c>
      <c r="FU21" s="14">
        <v>28.123000000000001</v>
      </c>
      <c r="FV21" s="14">
        <v>28.280999999999999</v>
      </c>
      <c r="FW21" s="14">
        <v>28.419</v>
      </c>
      <c r="FX21" s="14">
        <v>28.553000000000001</v>
      </c>
      <c r="FY21" s="14">
        <v>28.681000000000001</v>
      </c>
      <c r="FZ21" s="14">
        <v>28.811</v>
      </c>
      <c r="GA21" s="14">
        <v>28.946000000000002</v>
      </c>
      <c r="GB21" s="14">
        <v>29.079000000000001</v>
      </c>
      <c r="GC21" s="14">
        <v>29.206</v>
      </c>
      <c r="GD21" s="14">
        <v>29.337</v>
      </c>
      <c r="GE21" s="14">
        <v>29.477</v>
      </c>
      <c r="GF21" s="14">
        <v>29.616</v>
      </c>
      <c r="GG21" s="14">
        <v>29.751999999999999</v>
      </c>
      <c r="GH21" s="14">
        <v>29.887</v>
      </c>
      <c r="GI21" s="14">
        <v>30.021000000000001</v>
      </c>
      <c r="GJ21" s="14">
        <v>30.167999999999999</v>
      </c>
    </row>
    <row r="22" spans="1:192" x14ac:dyDescent="0.25">
      <c r="M22" s="9">
        <v>2031</v>
      </c>
      <c r="N22" s="10">
        <f t="shared" si="0"/>
        <v>463.95100000000002</v>
      </c>
      <c r="O22" s="10">
        <f t="shared" si="1"/>
        <v>44.432000000000016</v>
      </c>
      <c r="P22" s="15">
        <f t="shared" si="2"/>
        <v>10.591177038465483</v>
      </c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S22" s="13" t="s">
        <v>40</v>
      </c>
      <c r="ET22" s="13">
        <v>15</v>
      </c>
      <c r="EU22" s="13" t="s">
        <v>41</v>
      </c>
      <c r="EV22" s="14">
        <v>48.328000000000003</v>
      </c>
      <c r="EW22" s="14">
        <v>48.631999999999998</v>
      </c>
      <c r="EX22" s="14">
        <v>49.136000000000003</v>
      </c>
      <c r="EY22" s="14">
        <v>49.369</v>
      </c>
      <c r="EZ22" s="14">
        <v>49.652999999999999</v>
      </c>
      <c r="FA22" s="14">
        <v>50.048999999999999</v>
      </c>
      <c r="FB22" s="14">
        <v>50.591000000000001</v>
      </c>
      <c r="FC22" s="14">
        <v>51.21</v>
      </c>
      <c r="FD22" s="14">
        <v>51.58</v>
      </c>
      <c r="FE22" s="14">
        <v>51.984000000000002</v>
      </c>
      <c r="FF22" s="14">
        <v>52.481000000000002</v>
      </c>
      <c r="FG22" s="14">
        <v>52.802</v>
      </c>
      <c r="FH22" s="14">
        <v>53.018000000000001</v>
      </c>
      <c r="FI22" s="14">
        <v>53.304000000000002</v>
      </c>
      <c r="FJ22" s="14">
        <v>53.481999999999999</v>
      </c>
      <c r="FK22" s="14">
        <v>54.073</v>
      </c>
      <c r="FL22" s="14">
        <v>54.375999999999998</v>
      </c>
      <c r="FM22" s="14">
        <v>54.69</v>
      </c>
      <c r="FN22" s="14">
        <v>55.027999999999999</v>
      </c>
      <c r="FO22" s="14">
        <v>55.365000000000002</v>
      </c>
      <c r="FP22" s="14">
        <v>55.704000000000001</v>
      </c>
      <c r="FQ22" s="14">
        <v>56.021999999999998</v>
      </c>
      <c r="FR22" s="14">
        <v>56.344000000000001</v>
      </c>
      <c r="FS22" s="14">
        <v>56.68</v>
      </c>
      <c r="FT22" s="14">
        <v>57.005000000000003</v>
      </c>
      <c r="FU22" s="14">
        <v>57.331000000000003</v>
      </c>
      <c r="FV22" s="14">
        <v>57.658000000000001</v>
      </c>
      <c r="FW22" s="14">
        <v>57.975999999999999</v>
      </c>
      <c r="FX22" s="14">
        <v>58.292000000000002</v>
      </c>
      <c r="FY22" s="14">
        <v>58.61</v>
      </c>
      <c r="FZ22" s="14">
        <v>58.936</v>
      </c>
      <c r="GA22" s="14">
        <v>59.264000000000003</v>
      </c>
      <c r="GB22" s="14">
        <v>59.58</v>
      </c>
      <c r="GC22" s="14">
        <v>59.887</v>
      </c>
      <c r="GD22" s="14">
        <v>60.195</v>
      </c>
      <c r="GE22" s="14">
        <v>60.537999999999997</v>
      </c>
      <c r="GF22" s="14">
        <v>60.865000000000002</v>
      </c>
      <c r="GG22" s="14">
        <v>61.194000000000003</v>
      </c>
      <c r="GH22" s="14">
        <v>61.52</v>
      </c>
      <c r="GI22" s="14">
        <v>61.841999999999999</v>
      </c>
      <c r="GJ22" s="14">
        <v>62.192999999999998</v>
      </c>
    </row>
    <row r="23" spans="1:192" x14ac:dyDescent="0.25">
      <c r="M23" s="9">
        <v>2032</v>
      </c>
      <c r="N23" s="10">
        <f t="shared" si="0"/>
        <v>467.53500000000003</v>
      </c>
      <c r="O23" s="10">
        <f t="shared" si="1"/>
        <v>48.01600000000002</v>
      </c>
      <c r="P23" s="15">
        <f t="shared" si="2"/>
        <v>11.445488762129967</v>
      </c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S23" s="13" t="s">
        <v>42</v>
      </c>
      <c r="ET23" s="13">
        <v>16</v>
      </c>
      <c r="EU23" s="13" t="s">
        <v>43</v>
      </c>
      <c r="EV23" s="14">
        <v>31.372</v>
      </c>
      <c r="EW23" s="14">
        <v>31.616</v>
      </c>
      <c r="EX23" s="14">
        <v>31.873999999999999</v>
      </c>
      <c r="EY23" s="14">
        <v>32.058999999999997</v>
      </c>
      <c r="EZ23" s="14">
        <v>32.258000000000003</v>
      </c>
      <c r="FA23" s="14">
        <v>32.737000000000002</v>
      </c>
      <c r="FB23" s="14">
        <v>33.082999999999998</v>
      </c>
      <c r="FC23" s="14">
        <v>33.515000000000001</v>
      </c>
      <c r="FD23" s="14">
        <v>33.805</v>
      </c>
      <c r="FE23" s="14">
        <v>34.088000000000001</v>
      </c>
      <c r="FF23" s="14">
        <v>34.485999999999997</v>
      </c>
      <c r="FG23" s="14">
        <v>34.545000000000002</v>
      </c>
      <c r="FH23" s="14">
        <v>34.636000000000003</v>
      </c>
      <c r="FI23" s="14">
        <v>34.789000000000001</v>
      </c>
      <c r="FJ23" s="14">
        <v>34.976999999999997</v>
      </c>
      <c r="FK23" s="14">
        <v>35.070999999999998</v>
      </c>
      <c r="FL23" s="14">
        <v>35.161000000000001</v>
      </c>
      <c r="FM23" s="14">
        <v>35.253999999999998</v>
      </c>
      <c r="FN23" s="14">
        <v>35.353999999999999</v>
      </c>
      <c r="FO23" s="14">
        <v>35.454999999999998</v>
      </c>
      <c r="FP23" s="14">
        <v>35.542999999999999</v>
      </c>
      <c r="FQ23" s="14">
        <v>35.683</v>
      </c>
      <c r="FR23" s="14">
        <v>35.811</v>
      </c>
      <c r="FS23" s="14">
        <v>35.947000000000003</v>
      </c>
      <c r="FT23" s="14">
        <v>36.073999999999998</v>
      </c>
      <c r="FU23" s="14">
        <v>36.194000000000003</v>
      </c>
      <c r="FV23" s="14">
        <v>36.316000000000003</v>
      </c>
      <c r="FW23" s="14">
        <v>36.418999999999997</v>
      </c>
      <c r="FX23" s="14">
        <v>36.515000000000001</v>
      </c>
      <c r="FY23" s="14">
        <v>36.601999999999997</v>
      </c>
      <c r="FZ23" s="14">
        <v>36.688000000000002</v>
      </c>
      <c r="GA23" s="14">
        <v>36.774000000000001</v>
      </c>
      <c r="GB23" s="14">
        <v>36.844000000000001</v>
      </c>
      <c r="GC23" s="14">
        <v>36.908000000000001</v>
      </c>
      <c r="GD23" s="14">
        <v>36.966000000000001</v>
      </c>
      <c r="GE23" s="14">
        <v>37.021999999999998</v>
      </c>
      <c r="GF23" s="14">
        <v>37.075000000000003</v>
      </c>
      <c r="GG23" s="14">
        <v>37.127000000000002</v>
      </c>
      <c r="GH23" s="14">
        <v>37.177</v>
      </c>
      <c r="GI23" s="14">
        <v>37.228000000000002</v>
      </c>
      <c r="GJ23" s="14">
        <v>37.284999999999997</v>
      </c>
    </row>
    <row r="24" spans="1:192" x14ac:dyDescent="0.25">
      <c r="M24" s="9">
        <v>2033</v>
      </c>
      <c r="N24" s="10">
        <f t="shared" si="0"/>
        <v>471.08300000000003</v>
      </c>
      <c r="O24" s="10">
        <f t="shared" si="1"/>
        <v>51.564000000000021</v>
      </c>
      <c r="P24" s="15">
        <f t="shared" si="2"/>
        <v>12.29121922964157</v>
      </c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S24" s="13" t="s">
        <v>44</v>
      </c>
      <c r="ET24" s="13">
        <v>17</v>
      </c>
      <c r="EU24" s="13" t="s">
        <v>45</v>
      </c>
      <c r="EV24" s="14">
        <v>36.226999999999997</v>
      </c>
      <c r="EW24" s="14">
        <v>36.642000000000003</v>
      </c>
      <c r="EX24" s="14">
        <v>36.866</v>
      </c>
      <c r="EY24" s="14">
        <v>37.219000000000001</v>
      </c>
      <c r="EZ24" s="14">
        <v>37.81</v>
      </c>
      <c r="FA24" s="14">
        <v>38.554000000000002</v>
      </c>
      <c r="FB24" s="14">
        <v>39.268000000000001</v>
      </c>
      <c r="FC24" s="14">
        <v>40.033999999999999</v>
      </c>
      <c r="FD24" s="14">
        <v>40.572000000000003</v>
      </c>
      <c r="FE24" s="14">
        <v>41.173999999999999</v>
      </c>
      <c r="FF24" s="14">
        <v>41.802999999999997</v>
      </c>
      <c r="FG24" s="14">
        <v>42.052999999999997</v>
      </c>
      <c r="FH24" s="14">
        <v>42.408000000000001</v>
      </c>
      <c r="FI24" s="14">
        <v>42.938000000000002</v>
      </c>
      <c r="FJ24" s="14">
        <v>43.487000000000002</v>
      </c>
      <c r="FK24" s="14">
        <v>43.838000000000001</v>
      </c>
      <c r="FL24" s="14">
        <v>44.228000000000002</v>
      </c>
      <c r="FM24" s="14">
        <v>44.59</v>
      </c>
      <c r="FN24" s="14">
        <v>44.956000000000003</v>
      </c>
      <c r="FO24" s="14">
        <v>45.311999999999998</v>
      </c>
      <c r="FP24" s="14">
        <v>45.646000000000001</v>
      </c>
      <c r="FQ24" s="14">
        <v>46.024999999999999</v>
      </c>
      <c r="FR24" s="14">
        <v>46.387</v>
      </c>
      <c r="FS24" s="14">
        <v>46.744999999999997</v>
      </c>
      <c r="FT24" s="14">
        <v>47.088000000000001</v>
      </c>
      <c r="FU24" s="14">
        <v>47.408000000000001</v>
      </c>
      <c r="FV24" s="14">
        <v>47.756</v>
      </c>
      <c r="FW24" s="14">
        <v>48.085000000000001</v>
      </c>
      <c r="FX24" s="14">
        <v>48.411999999999999</v>
      </c>
      <c r="FY24" s="14">
        <v>48.723999999999997</v>
      </c>
      <c r="FZ24" s="14">
        <v>49.057000000000002</v>
      </c>
      <c r="GA24" s="14">
        <v>49.393999999999998</v>
      </c>
      <c r="GB24" s="14">
        <v>49.723999999999997</v>
      </c>
      <c r="GC24" s="14">
        <v>50.048000000000002</v>
      </c>
      <c r="GD24" s="14">
        <v>50.366999999999997</v>
      </c>
      <c r="GE24" s="14">
        <v>50.707000000000001</v>
      </c>
      <c r="GF24" s="14">
        <v>51.04</v>
      </c>
      <c r="GG24" s="14">
        <v>51.368000000000002</v>
      </c>
      <c r="GH24" s="14">
        <v>51.698</v>
      </c>
      <c r="GI24" s="14">
        <v>52.021000000000001</v>
      </c>
      <c r="GJ24" s="14">
        <v>52.359000000000002</v>
      </c>
    </row>
    <row r="25" spans="1:192" x14ac:dyDescent="0.25">
      <c r="M25" s="9">
        <v>2034</v>
      </c>
      <c r="N25" s="10">
        <f t="shared" si="0"/>
        <v>474.54199999999997</v>
      </c>
      <c r="O25" s="10">
        <f t="shared" si="1"/>
        <v>55.022999999999968</v>
      </c>
      <c r="P25" s="15">
        <f t="shared" si="2"/>
        <v>13.11573492499743</v>
      </c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S25" s="13" t="s">
        <v>46</v>
      </c>
      <c r="ET25" s="13">
        <v>18</v>
      </c>
      <c r="EU25" s="13" t="s">
        <v>47</v>
      </c>
      <c r="EV25" s="14">
        <v>115.453</v>
      </c>
      <c r="EW25" s="14">
        <v>115.392</v>
      </c>
      <c r="EX25" s="14">
        <v>115.596</v>
      </c>
      <c r="EY25" s="14">
        <v>115.779</v>
      </c>
      <c r="EZ25" s="14">
        <v>116.127</v>
      </c>
      <c r="FA25" s="14">
        <v>116.559</v>
      </c>
      <c r="FB25" s="14">
        <v>116.786</v>
      </c>
      <c r="FC25" s="14">
        <v>117.696</v>
      </c>
      <c r="FD25" s="14">
        <v>118.679</v>
      </c>
      <c r="FE25" s="14">
        <v>119.836</v>
      </c>
      <c r="FF25" s="14">
        <v>120.873</v>
      </c>
      <c r="FG25" s="14">
        <v>121.37</v>
      </c>
      <c r="FH25" s="14">
        <v>122.00700000000001</v>
      </c>
      <c r="FI25" s="14">
        <v>122.78700000000001</v>
      </c>
      <c r="FJ25" s="14">
        <v>123.572</v>
      </c>
      <c r="FK25" s="14">
        <v>124.758</v>
      </c>
      <c r="FL25" s="14">
        <v>125.599</v>
      </c>
      <c r="FM25" s="14">
        <v>126.434</v>
      </c>
      <c r="FN25" s="14">
        <v>127.265</v>
      </c>
      <c r="FO25" s="14">
        <v>128.03700000000001</v>
      </c>
      <c r="FP25" s="14">
        <v>128.79</v>
      </c>
      <c r="FQ25" s="14">
        <v>129.80199999999999</v>
      </c>
      <c r="FR25" s="14">
        <v>130.77099999999999</v>
      </c>
      <c r="FS25" s="14">
        <v>131.733</v>
      </c>
      <c r="FT25" s="14">
        <v>132.69200000000001</v>
      </c>
      <c r="FU25" s="14">
        <v>133.65299999999999</v>
      </c>
      <c r="FV25" s="14">
        <v>134.64099999999999</v>
      </c>
      <c r="FW25" s="14">
        <v>135.636</v>
      </c>
      <c r="FX25" s="14">
        <v>136.63999999999999</v>
      </c>
      <c r="FY25" s="14">
        <v>137.61699999999999</v>
      </c>
      <c r="FZ25" s="14">
        <v>138.63</v>
      </c>
      <c r="GA25" s="14">
        <v>139.69399999999999</v>
      </c>
      <c r="GB25" s="14">
        <v>140.76599999999999</v>
      </c>
      <c r="GC25" s="14">
        <v>141.821</v>
      </c>
      <c r="GD25" s="14">
        <v>142.85599999999999</v>
      </c>
      <c r="GE25" s="14">
        <v>143.922</v>
      </c>
      <c r="GF25" s="14">
        <v>145.01499999999999</v>
      </c>
      <c r="GG25" s="14">
        <v>146.12200000000001</v>
      </c>
      <c r="GH25" s="14">
        <v>147.18799999999999</v>
      </c>
      <c r="GI25" s="14">
        <v>148.22</v>
      </c>
      <c r="GJ25" s="14">
        <v>149.24799999999999</v>
      </c>
    </row>
    <row r="26" spans="1:192" x14ac:dyDescent="0.25">
      <c r="M26" s="9">
        <v>2035</v>
      </c>
      <c r="N26" s="10">
        <f t="shared" si="0"/>
        <v>477.88</v>
      </c>
      <c r="O26" s="10">
        <f t="shared" si="1"/>
        <v>58.36099999999999</v>
      </c>
      <c r="P26" s="15">
        <f t="shared" si="2"/>
        <v>13.911408064950573</v>
      </c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S26" s="13" t="s">
        <v>48</v>
      </c>
      <c r="ET26" s="13">
        <v>19</v>
      </c>
      <c r="EU26" s="13" t="s">
        <v>49</v>
      </c>
      <c r="EV26" s="14">
        <v>116.696</v>
      </c>
      <c r="EW26" s="14">
        <v>117.735</v>
      </c>
      <c r="EX26" s="14">
        <v>118.794</v>
      </c>
      <c r="EY26" s="14">
        <v>120.065</v>
      </c>
      <c r="EZ26" s="14">
        <v>121.473</v>
      </c>
      <c r="FA26" s="14">
        <v>123.026</v>
      </c>
      <c r="FB26" s="14">
        <v>124.54300000000001</v>
      </c>
      <c r="FC26" s="14">
        <v>125.806</v>
      </c>
      <c r="FD26" s="14">
        <v>126.67100000000001</v>
      </c>
      <c r="FE26" s="14">
        <v>127.949</v>
      </c>
      <c r="FF26" s="14">
        <v>129.77600000000001</v>
      </c>
      <c r="FG26" s="14">
        <v>130.75800000000001</v>
      </c>
      <c r="FH26" s="14">
        <v>131.59</v>
      </c>
      <c r="FI26" s="14">
        <v>132.94</v>
      </c>
      <c r="FJ26" s="14">
        <v>134.101</v>
      </c>
      <c r="FK26" s="14">
        <v>135.44900000000001</v>
      </c>
      <c r="FL26" s="14">
        <v>136.518</v>
      </c>
      <c r="FM26" s="14">
        <v>137.59200000000001</v>
      </c>
      <c r="FN26" s="14">
        <v>138.66499999999999</v>
      </c>
      <c r="FO26" s="14">
        <v>139.67699999999999</v>
      </c>
      <c r="FP26" s="14">
        <v>140.61000000000001</v>
      </c>
      <c r="FQ26" s="14">
        <v>141.726</v>
      </c>
      <c r="FR26" s="14">
        <v>142.77799999999999</v>
      </c>
      <c r="FS26" s="14">
        <v>143.80600000000001</v>
      </c>
      <c r="FT26" s="14">
        <v>144.76</v>
      </c>
      <c r="FU26" s="14">
        <v>145.667</v>
      </c>
      <c r="FV26" s="14">
        <v>146.59700000000001</v>
      </c>
      <c r="FW26" s="14">
        <v>147.477</v>
      </c>
      <c r="FX26" s="14">
        <v>148.309</v>
      </c>
      <c r="FY26" s="14">
        <v>149.11099999999999</v>
      </c>
      <c r="FZ26" s="14">
        <v>149.88999999999999</v>
      </c>
      <c r="GA26" s="14">
        <v>150.65600000000001</v>
      </c>
      <c r="GB26" s="14">
        <v>151.40299999999999</v>
      </c>
      <c r="GC26" s="14">
        <v>152.10400000000001</v>
      </c>
      <c r="GD26" s="14">
        <v>152.803</v>
      </c>
      <c r="GE26" s="14">
        <v>153.511</v>
      </c>
      <c r="GF26" s="14">
        <v>154.173</v>
      </c>
      <c r="GG26" s="14">
        <v>154.834</v>
      </c>
      <c r="GH26" s="14">
        <v>155.47999999999999</v>
      </c>
      <c r="GI26" s="14">
        <v>156.09</v>
      </c>
      <c r="GJ26" s="14">
        <v>156.745</v>
      </c>
    </row>
    <row r="27" spans="1:192" x14ac:dyDescent="0.25">
      <c r="M27" s="9">
        <v>2036</v>
      </c>
      <c r="N27" s="10">
        <f t="shared" si="0"/>
        <v>481.31900000000002</v>
      </c>
      <c r="O27" s="10">
        <f t="shared" si="1"/>
        <v>61.800000000000011</v>
      </c>
      <c r="P27" s="15">
        <f t="shared" si="2"/>
        <v>14.73115639577707</v>
      </c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S27" s="13" t="s">
        <v>50</v>
      </c>
      <c r="ET27" s="13">
        <v>20</v>
      </c>
      <c r="EU27" s="13" t="s">
        <v>51</v>
      </c>
      <c r="EV27" s="14">
        <v>80.497</v>
      </c>
      <c r="EW27" s="14">
        <v>80.873000000000005</v>
      </c>
      <c r="EX27" s="14">
        <v>81.236000000000004</v>
      </c>
      <c r="EY27" s="14">
        <v>81.686999999999998</v>
      </c>
      <c r="EZ27" s="14">
        <v>82.165000000000006</v>
      </c>
      <c r="FA27" s="14">
        <v>82.774000000000001</v>
      </c>
      <c r="FB27" s="14">
        <v>83.17</v>
      </c>
      <c r="FC27" s="14">
        <v>83.962999999999994</v>
      </c>
      <c r="FD27" s="14">
        <v>84.616</v>
      </c>
      <c r="FE27" s="14">
        <v>85.292000000000002</v>
      </c>
      <c r="FF27" s="14">
        <v>85.846000000000004</v>
      </c>
      <c r="FG27" s="14">
        <v>86.177999999999997</v>
      </c>
      <c r="FH27" s="14">
        <v>86.994</v>
      </c>
      <c r="FI27" s="14">
        <v>87.531999999999996</v>
      </c>
      <c r="FJ27" s="14">
        <v>87.994</v>
      </c>
      <c r="FK27" s="14">
        <v>88.668999999999997</v>
      </c>
      <c r="FL27" s="14">
        <v>89.230999999999995</v>
      </c>
      <c r="FM27" s="14">
        <v>89.78</v>
      </c>
      <c r="FN27" s="14">
        <v>90.361999999999995</v>
      </c>
      <c r="FO27" s="14">
        <v>90.935000000000002</v>
      </c>
      <c r="FP27" s="14">
        <v>91.495999999999995</v>
      </c>
      <c r="FQ27" s="14">
        <v>92.045000000000002</v>
      </c>
      <c r="FR27" s="14">
        <v>92.575000000000003</v>
      </c>
      <c r="FS27" s="14">
        <v>93.126000000000005</v>
      </c>
      <c r="FT27" s="14">
        <v>93.650999999999996</v>
      </c>
      <c r="FU27" s="14">
        <v>94.17</v>
      </c>
      <c r="FV27" s="14">
        <v>94.727999999999994</v>
      </c>
      <c r="FW27" s="14">
        <v>95.281000000000006</v>
      </c>
      <c r="FX27" s="14">
        <v>95.838999999999999</v>
      </c>
      <c r="FY27" s="14">
        <v>96.382000000000005</v>
      </c>
      <c r="FZ27" s="14">
        <v>96.948999999999998</v>
      </c>
      <c r="GA27" s="14">
        <v>97.545000000000002</v>
      </c>
      <c r="GB27" s="14">
        <v>98.114000000000004</v>
      </c>
      <c r="GC27" s="14">
        <v>98.679000000000002</v>
      </c>
      <c r="GD27" s="14">
        <v>99.236000000000004</v>
      </c>
      <c r="GE27" s="14">
        <v>99.808000000000007</v>
      </c>
      <c r="GF27" s="14">
        <v>100.379</v>
      </c>
      <c r="GG27" s="14">
        <v>100.95399999999999</v>
      </c>
      <c r="GH27" s="14">
        <v>101.54300000000001</v>
      </c>
      <c r="GI27" s="14">
        <v>102.111</v>
      </c>
      <c r="GJ27" s="14">
        <v>102.702</v>
      </c>
    </row>
    <row r="28" spans="1:192" s="17" customFormat="1" x14ac:dyDescent="0.25">
      <c r="M28" s="9">
        <v>2037</v>
      </c>
      <c r="N28" s="10">
        <f t="shared" si="0"/>
        <v>484.79399999999998</v>
      </c>
      <c r="O28" s="10">
        <f t="shared" si="1"/>
        <v>65.274999999999977</v>
      </c>
      <c r="P28" s="15">
        <f t="shared" si="2"/>
        <v>15.559485982756438</v>
      </c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S28" s="13" t="s">
        <v>52</v>
      </c>
      <c r="ET28" s="13">
        <v>21</v>
      </c>
      <c r="EU28" s="13" t="s">
        <v>53</v>
      </c>
      <c r="EV28" s="14">
        <v>41.868000000000002</v>
      </c>
      <c r="EW28" s="14">
        <v>42.087000000000003</v>
      </c>
      <c r="EX28" s="14">
        <v>42.314999999999998</v>
      </c>
      <c r="EY28" s="14">
        <v>42.55</v>
      </c>
      <c r="EZ28" s="14">
        <v>42.777000000000001</v>
      </c>
      <c r="FA28" s="14">
        <v>43.014000000000003</v>
      </c>
      <c r="FB28" s="14">
        <v>43.262</v>
      </c>
      <c r="FC28" s="14">
        <v>43.557000000000002</v>
      </c>
      <c r="FD28" s="14">
        <v>43.747</v>
      </c>
      <c r="FE28" s="14">
        <v>44.073999999999998</v>
      </c>
      <c r="FF28" s="14">
        <v>44.55</v>
      </c>
      <c r="FG28" s="14">
        <v>44.57</v>
      </c>
      <c r="FH28" s="14">
        <v>45.145000000000003</v>
      </c>
      <c r="FI28" s="14">
        <v>45.47</v>
      </c>
      <c r="FJ28" s="14">
        <v>45.738999999999997</v>
      </c>
      <c r="FK28" s="14">
        <v>46.034999999999997</v>
      </c>
      <c r="FL28" s="14">
        <v>46.32</v>
      </c>
      <c r="FM28" s="14">
        <v>46.609000000000002</v>
      </c>
      <c r="FN28" s="14">
        <v>46.884</v>
      </c>
      <c r="FO28" s="14">
        <v>47.145000000000003</v>
      </c>
      <c r="FP28" s="14">
        <v>47.365000000000002</v>
      </c>
      <c r="FQ28" s="14">
        <v>47.625</v>
      </c>
      <c r="FR28" s="14">
        <v>47.881</v>
      </c>
      <c r="FS28" s="14">
        <v>48.118000000000002</v>
      </c>
      <c r="FT28" s="14">
        <v>48.341000000000001</v>
      </c>
      <c r="FU28" s="14">
        <v>48.521999999999998</v>
      </c>
      <c r="FV28" s="14">
        <v>48.713999999999999</v>
      </c>
      <c r="FW28" s="14">
        <v>48.896000000000001</v>
      </c>
      <c r="FX28" s="14">
        <v>49.06</v>
      </c>
      <c r="FY28" s="14">
        <v>49.226999999999997</v>
      </c>
      <c r="FZ28" s="14">
        <v>49.393000000000001</v>
      </c>
      <c r="GA28" s="14">
        <v>49.563000000000002</v>
      </c>
      <c r="GB28" s="14">
        <v>49.726999999999997</v>
      </c>
      <c r="GC28" s="14">
        <v>49.877000000000002</v>
      </c>
      <c r="GD28" s="14">
        <v>50.034999999999997</v>
      </c>
      <c r="GE28" s="14">
        <v>50.215000000000003</v>
      </c>
      <c r="GF28" s="14">
        <v>50.392000000000003</v>
      </c>
      <c r="GG28" s="14">
        <v>50.561</v>
      </c>
      <c r="GH28" s="14">
        <v>50.728999999999999</v>
      </c>
      <c r="GI28" s="14">
        <v>50.890999999999998</v>
      </c>
      <c r="GJ28" s="14">
        <v>51.076999999999998</v>
      </c>
    </row>
    <row r="29" spans="1:192" x14ac:dyDescent="0.25">
      <c r="M29" s="18">
        <v>2038</v>
      </c>
      <c r="N29" s="10">
        <f t="shared" si="0"/>
        <v>488.25200000000001</v>
      </c>
      <c r="O29" s="10">
        <f t="shared" si="1"/>
        <v>68.733000000000004</v>
      </c>
      <c r="P29" s="15">
        <f t="shared" si="2"/>
        <v>16.383763309885847</v>
      </c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S29" s="13" t="s">
        <v>54</v>
      </c>
      <c r="ET29" s="13">
        <v>22</v>
      </c>
      <c r="EU29" s="13" t="s">
        <v>55</v>
      </c>
      <c r="EV29" s="14">
        <v>49.741999999999997</v>
      </c>
      <c r="EW29" s="14">
        <v>50.220999999999997</v>
      </c>
      <c r="EX29" s="14">
        <v>50.892000000000003</v>
      </c>
      <c r="EY29" s="14">
        <v>51.47</v>
      </c>
      <c r="EZ29" s="14">
        <v>52.073</v>
      </c>
      <c r="FA29" s="14">
        <v>52.747</v>
      </c>
      <c r="FB29" s="14">
        <v>53.412999999999997</v>
      </c>
      <c r="FC29" s="14">
        <v>54.118000000000002</v>
      </c>
      <c r="FD29" s="14">
        <v>54.616</v>
      </c>
      <c r="FE29" s="14">
        <v>55.127000000000002</v>
      </c>
      <c r="FF29" s="14">
        <v>55.558999999999997</v>
      </c>
      <c r="FG29" s="14">
        <v>55.975000000000001</v>
      </c>
      <c r="FH29" s="14">
        <v>56.381999999999998</v>
      </c>
      <c r="FI29" s="14">
        <v>56.692999999999998</v>
      </c>
      <c r="FJ29" s="14">
        <v>57.024999999999999</v>
      </c>
      <c r="FK29" s="14">
        <v>57.732999999999997</v>
      </c>
      <c r="FL29" s="14">
        <v>58.064999999999998</v>
      </c>
      <c r="FM29" s="14">
        <v>58.430999999999997</v>
      </c>
      <c r="FN29" s="14">
        <v>58.77</v>
      </c>
      <c r="FO29" s="14">
        <v>59.079000000000001</v>
      </c>
      <c r="FP29" s="14">
        <v>59.372</v>
      </c>
      <c r="FQ29" s="14">
        <v>59.643999999999998</v>
      </c>
      <c r="FR29" s="14">
        <v>59.94</v>
      </c>
      <c r="FS29" s="14">
        <v>60.210999999999999</v>
      </c>
      <c r="FT29" s="14">
        <v>60.447000000000003</v>
      </c>
      <c r="FU29" s="14">
        <v>60.667000000000002</v>
      </c>
      <c r="FV29" s="14">
        <v>60.898000000000003</v>
      </c>
      <c r="FW29" s="14">
        <v>61.131999999999998</v>
      </c>
      <c r="FX29" s="14">
        <v>61.343000000000004</v>
      </c>
      <c r="FY29" s="14">
        <v>61.527000000000001</v>
      </c>
      <c r="FZ29" s="14">
        <v>61.707000000000001</v>
      </c>
      <c r="GA29" s="14">
        <v>61.893000000000001</v>
      </c>
      <c r="GB29" s="14">
        <v>62.081000000000003</v>
      </c>
      <c r="GC29" s="14">
        <v>62.26</v>
      </c>
      <c r="GD29" s="14">
        <v>62.424999999999997</v>
      </c>
      <c r="GE29" s="14">
        <v>62.593000000000004</v>
      </c>
      <c r="GF29" s="14">
        <v>62.762999999999998</v>
      </c>
      <c r="GG29" s="14">
        <v>62.944000000000003</v>
      </c>
      <c r="GH29" s="14">
        <v>63.122</v>
      </c>
      <c r="GI29" s="14">
        <v>63.295999999999999</v>
      </c>
      <c r="GJ29" s="14">
        <v>63.475000000000001</v>
      </c>
    </row>
    <row r="30" spans="1:192" x14ac:dyDescent="0.25">
      <c r="A30" s="82" t="s">
        <v>58</v>
      </c>
      <c r="M30" s="9">
        <v>2039</v>
      </c>
      <c r="N30" s="10">
        <f t="shared" si="0"/>
        <v>491.61599999999999</v>
      </c>
      <c r="O30" s="10">
        <f t="shared" si="1"/>
        <v>72.09699999999998</v>
      </c>
      <c r="P30" s="15">
        <f t="shared" si="2"/>
        <v>17.185634023727168</v>
      </c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S30" s="13" t="s">
        <v>56</v>
      </c>
      <c r="ET30" s="13">
        <v>23</v>
      </c>
      <c r="EU30" s="13" t="s">
        <v>57</v>
      </c>
      <c r="EV30" s="14">
        <v>38.64</v>
      </c>
      <c r="EW30" s="14">
        <v>39.043999999999997</v>
      </c>
      <c r="EX30" s="14">
        <v>39.25</v>
      </c>
      <c r="EY30" s="14">
        <v>39.491999999999997</v>
      </c>
      <c r="EZ30" s="14">
        <v>39.801000000000002</v>
      </c>
      <c r="FA30" s="14">
        <v>40.143000000000001</v>
      </c>
      <c r="FB30" s="14">
        <v>40.503</v>
      </c>
      <c r="FC30" s="14">
        <v>40.843000000000004</v>
      </c>
      <c r="FD30" s="14">
        <v>41.069000000000003</v>
      </c>
      <c r="FE30" s="14">
        <v>41.274000000000001</v>
      </c>
      <c r="FF30" s="14">
        <v>41.747999999999998</v>
      </c>
      <c r="FG30" s="14">
        <v>41.951000000000001</v>
      </c>
      <c r="FH30" s="14">
        <v>42.152999999999999</v>
      </c>
      <c r="FI30" s="14">
        <v>42.441000000000003</v>
      </c>
      <c r="FJ30" s="14">
        <v>42.627000000000002</v>
      </c>
      <c r="FK30" s="14">
        <v>42.835000000000001</v>
      </c>
      <c r="FL30" s="14">
        <v>43.033000000000001</v>
      </c>
      <c r="FM30" s="14">
        <v>43.241999999999997</v>
      </c>
      <c r="FN30" s="14">
        <v>43.451000000000001</v>
      </c>
      <c r="FO30" s="14">
        <v>43.646999999999998</v>
      </c>
      <c r="FP30" s="14">
        <v>43.834000000000003</v>
      </c>
      <c r="FQ30" s="14">
        <v>44.018999999999998</v>
      </c>
      <c r="FR30" s="14">
        <v>44.180999999999997</v>
      </c>
      <c r="FS30" s="14">
        <v>44.332000000000001</v>
      </c>
      <c r="FT30" s="14">
        <v>44.472000000000001</v>
      </c>
      <c r="FU30" s="14">
        <v>44.593000000000004</v>
      </c>
      <c r="FV30" s="14">
        <v>44.719000000000001</v>
      </c>
      <c r="FW30" s="14">
        <v>44.844000000000001</v>
      </c>
      <c r="FX30" s="14">
        <v>44.945999999999998</v>
      </c>
      <c r="FY30" s="14">
        <v>45.040999999999997</v>
      </c>
      <c r="FZ30" s="14">
        <v>45.136000000000003</v>
      </c>
      <c r="GA30" s="14">
        <v>45.223999999999997</v>
      </c>
      <c r="GB30" s="14">
        <v>45.320999999999998</v>
      </c>
      <c r="GC30" s="14">
        <v>45.402999999999999</v>
      </c>
      <c r="GD30" s="14">
        <v>45.48</v>
      </c>
      <c r="GE30" s="14">
        <v>45.575000000000003</v>
      </c>
      <c r="GF30" s="14">
        <v>45.652999999999999</v>
      </c>
      <c r="GG30" s="14">
        <v>45.744999999999997</v>
      </c>
      <c r="GH30" s="14">
        <v>45.835999999999999</v>
      </c>
      <c r="GI30" s="14">
        <v>45.92</v>
      </c>
      <c r="GJ30" s="14">
        <v>46.026000000000003</v>
      </c>
    </row>
    <row r="31" spans="1:192" x14ac:dyDescent="0.25">
      <c r="A31" s="82" t="s">
        <v>61</v>
      </c>
      <c r="M31" s="9">
        <v>2040</v>
      </c>
      <c r="N31" s="10">
        <f t="shared" si="0"/>
        <v>494.85599999999999</v>
      </c>
      <c r="O31" s="10">
        <f t="shared" si="1"/>
        <v>75.336999999999989</v>
      </c>
      <c r="P31" s="15">
        <f t="shared" si="2"/>
        <v>17.957947077486356</v>
      </c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S31" s="13" t="s">
        <v>59</v>
      </c>
      <c r="ET31" s="13">
        <v>24</v>
      </c>
      <c r="EU31" s="13" t="s">
        <v>60</v>
      </c>
      <c r="EV31" s="14">
        <v>102.089</v>
      </c>
      <c r="EW31" s="14">
        <v>102.139</v>
      </c>
      <c r="EX31" s="14">
        <v>102.303</v>
      </c>
      <c r="EY31" s="14">
        <v>102.68</v>
      </c>
      <c r="EZ31" s="14">
        <v>103.08</v>
      </c>
      <c r="FA31" s="14">
        <v>103.715</v>
      </c>
      <c r="FB31" s="14">
        <v>103.994</v>
      </c>
      <c r="FC31" s="14">
        <v>104.52500000000001</v>
      </c>
      <c r="FD31" s="14">
        <v>104.77500000000001</v>
      </c>
      <c r="FE31" s="14">
        <v>105.529</v>
      </c>
      <c r="FF31" s="14">
        <v>106.62</v>
      </c>
      <c r="FG31" s="14">
        <v>106.92400000000001</v>
      </c>
      <c r="FH31" s="14">
        <v>107.16800000000001</v>
      </c>
      <c r="FI31" s="14">
        <v>107.571</v>
      </c>
      <c r="FJ31" s="14">
        <v>107.952</v>
      </c>
      <c r="FK31" s="14">
        <v>108.75700000000001</v>
      </c>
      <c r="FL31" s="14">
        <v>109.22799999999999</v>
      </c>
      <c r="FM31" s="14">
        <v>109.71299999999999</v>
      </c>
      <c r="FN31" s="14">
        <v>110.15</v>
      </c>
      <c r="FO31" s="14">
        <v>110.56</v>
      </c>
      <c r="FP31" s="14">
        <v>110.889</v>
      </c>
      <c r="FQ31" s="14">
        <v>111.30200000000001</v>
      </c>
      <c r="FR31" s="14">
        <v>111.703</v>
      </c>
      <c r="FS31" s="14">
        <v>112.111</v>
      </c>
      <c r="FT31" s="14">
        <v>112.497</v>
      </c>
      <c r="FU31" s="14">
        <v>112.837</v>
      </c>
      <c r="FV31" s="14">
        <v>113.239</v>
      </c>
      <c r="FW31" s="14">
        <v>113.675</v>
      </c>
      <c r="FX31" s="14">
        <v>114.071</v>
      </c>
      <c r="FY31" s="14">
        <v>114.455</v>
      </c>
      <c r="FZ31" s="14">
        <v>114.854</v>
      </c>
      <c r="GA31" s="14">
        <v>115.283</v>
      </c>
      <c r="GB31" s="14">
        <v>115.72199999999999</v>
      </c>
      <c r="GC31" s="14">
        <v>116.13800000000001</v>
      </c>
      <c r="GD31" s="14">
        <v>116.542</v>
      </c>
      <c r="GE31" s="14">
        <v>116.961</v>
      </c>
      <c r="GF31" s="14">
        <v>117.374</v>
      </c>
      <c r="GG31" s="14">
        <v>117.8</v>
      </c>
      <c r="GH31" s="14">
        <v>118.206</v>
      </c>
      <c r="GI31" s="14">
        <v>118.604</v>
      </c>
      <c r="GJ31" s="14">
        <v>119.015</v>
      </c>
    </row>
    <row r="32" spans="1:192" ht="15.75" thickBot="1" x14ac:dyDescent="0.3">
      <c r="M32" s="20">
        <v>2041</v>
      </c>
      <c r="N32" s="21">
        <f t="shared" si="0"/>
        <v>498.13600000000002</v>
      </c>
      <c r="O32" s="21">
        <f t="shared" si="1"/>
        <v>78.617000000000019</v>
      </c>
      <c r="P32" s="22">
        <f t="shared" si="2"/>
        <v>18.739794860304304</v>
      </c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S32" s="13" t="s">
        <v>62</v>
      </c>
      <c r="ET32" s="13">
        <v>25</v>
      </c>
      <c r="EU32" s="13" t="s">
        <v>63</v>
      </c>
      <c r="EV32" s="14">
        <v>46.968000000000004</v>
      </c>
      <c r="EW32" s="14">
        <v>47.3</v>
      </c>
      <c r="EX32" s="14">
        <v>47.713000000000001</v>
      </c>
      <c r="EY32" s="14">
        <v>48.011000000000003</v>
      </c>
      <c r="EZ32" s="14">
        <v>48.622999999999998</v>
      </c>
      <c r="FA32" s="14">
        <v>49.485999999999997</v>
      </c>
      <c r="FB32" s="14">
        <v>50.19</v>
      </c>
      <c r="FC32" s="14">
        <v>50.838999999999999</v>
      </c>
      <c r="FD32" s="14">
        <v>51.057000000000002</v>
      </c>
      <c r="FE32" s="14">
        <v>51.451999999999998</v>
      </c>
      <c r="FF32" s="14">
        <v>51.960999999999999</v>
      </c>
      <c r="FG32" s="14">
        <v>52.241999999999997</v>
      </c>
      <c r="FH32" s="14">
        <v>52.518000000000001</v>
      </c>
      <c r="FI32" s="14">
        <v>52.838000000000001</v>
      </c>
      <c r="FJ32" s="14">
        <v>53.142000000000003</v>
      </c>
      <c r="FK32" s="14">
        <v>53.648000000000003</v>
      </c>
      <c r="FL32" s="14">
        <v>53.970999999999997</v>
      </c>
      <c r="FM32" s="14">
        <v>54.274999999999999</v>
      </c>
      <c r="FN32" s="14">
        <v>54.573</v>
      </c>
      <c r="FO32" s="14">
        <v>54.871000000000002</v>
      </c>
      <c r="FP32" s="14">
        <v>55.165999999999997</v>
      </c>
      <c r="FQ32" s="14">
        <v>55.515999999999998</v>
      </c>
      <c r="FR32" s="14">
        <v>55.835000000000001</v>
      </c>
      <c r="FS32" s="14">
        <v>56.164999999999999</v>
      </c>
      <c r="FT32" s="14">
        <v>56.465000000000003</v>
      </c>
      <c r="FU32" s="14">
        <v>56.753999999999998</v>
      </c>
      <c r="FV32" s="14">
        <v>57.058999999999997</v>
      </c>
      <c r="FW32" s="14">
        <v>57.328000000000003</v>
      </c>
      <c r="FX32" s="14">
        <v>57.600999999999999</v>
      </c>
      <c r="FY32" s="14">
        <v>57.85</v>
      </c>
      <c r="FZ32" s="14">
        <v>58.104999999999997</v>
      </c>
      <c r="GA32" s="14">
        <v>58.360999999999997</v>
      </c>
      <c r="GB32" s="14">
        <v>58.593000000000004</v>
      </c>
      <c r="GC32" s="14">
        <v>58.82</v>
      </c>
      <c r="GD32" s="14">
        <v>59.042999999999999</v>
      </c>
      <c r="GE32" s="14">
        <v>59.274000000000001</v>
      </c>
      <c r="GF32" s="14">
        <v>59.5</v>
      </c>
      <c r="GG32" s="14">
        <v>59.73</v>
      </c>
      <c r="GH32" s="14">
        <v>59.968000000000004</v>
      </c>
      <c r="GI32" s="14">
        <v>60.207000000000001</v>
      </c>
      <c r="GJ32" s="14">
        <v>60.470999999999997</v>
      </c>
    </row>
    <row r="33" spans="149:193" x14ac:dyDescent="0.25">
      <c r="ES33" s="13" t="s">
        <v>64</v>
      </c>
      <c r="ET33" s="13">
        <v>26</v>
      </c>
      <c r="EU33" s="13" t="s">
        <v>65</v>
      </c>
      <c r="EV33" s="14">
        <v>29.184999999999999</v>
      </c>
      <c r="EW33" s="14">
        <v>29.305</v>
      </c>
      <c r="EX33" s="14">
        <v>29.457999999999998</v>
      </c>
      <c r="EY33" s="14">
        <v>29.619</v>
      </c>
      <c r="EZ33" s="14">
        <v>29.884</v>
      </c>
      <c r="FA33" s="14">
        <v>30.117999999999999</v>
      </c>
      <c r="FB33" s="14">
        <v>30.376000000000001</v>
      </c>
      <c r="FC33" s="14">
        <v>30.695</v>
      </c>
      <c r="FD33" s="14">
        <v>30.934999999999999</v>
      </c>
      <c r="FE33" s="14">
        <v>31.16</v>
      </c>
      <c r="FF33" s="14">
        <v>31.459</v>
      </c>
      <c r="FG33" s="14">
        <v>31.651</v>
      </c>
      <c r="FH33" s="14">
        <v>31.797999999999998</v>
      </c>
      <c r="FI33" s="14">
        <v>31.896000000000001</v>
      </c>
      <c r="FJ33" s="14">
        <v>32.052</v>
      </c>
      <c r="FK33" s="14">
        <v>32.158000000000001</v>
      </c>
      <c r="FL33" s="14">
        <v>32.261000000000003</v>
      </c>
      <c r="FM33" s="14">
        <v>32.375</v>
      </c>
      <c r="FN33" s="14">
        <v>32.473999999999997</v>
      </c>
      <c r="FO33" s="14">
        <v>32.581000000000003</v>
      </c>
      <c r="FP33" s="14">
        <v>32.664999999999999</v>
      </c>
      <c r="FQ33" s="14">
        <v>32.768000000000001</v>
      </c>
      <c r="FR33" s="14">
        <v>32.871000000000002</v>
      </c>
      <c r="FS33" s="14">
        <v>32.984000000000002</v>
      </c>
      <c r="FT33" s="14">
        <v>33.075000000000003</v>
      </c>
      <c r="FU33" s="14">
        <v>33.155000000000001</v>
      </c>
      <c r="FV33" s="14">
        <v>33.238</v>
      </c>
      <c r="FW33" s="14">
        <v>33.322000000000003</v>
      </c>
      <c r="FX33" s="14">
        <v>33.401000000000003</v>
      </c>
      <c r="FY33" s="14">
        <v>33.47</v>
      </c>
      <c r="FZ33" s="14">
        <v>33.523000000000003</v>
      </c>
      <c r="GA33" s="14">
        <v>33.573999999999998</v>
      </c>
      <c r="GB33" s="14">
        <v>33.636000000000003</v>
      </c>
      <c r="GC33" s="14">
        <v>33.680999999999997</v>
      </c>
      <c r="GD33" s="14">
        <v>33.732999999999997</v>
      </c>
      <c r="GE33" s="14">
        <v>33.783000000000001</v>
      </c>
      <c r="GF33" s="14">
        <v>33.820999999999998</v>
      </c>
      <c r="GG33" s="14">
        <v>33.877000000000002</v>
      </c>
      <c r="GH33" s="14">
        <v>33.926000000000002</v>
      </c>
      <c r="GI33" s="14">
        <v>33.981000000000002</v>
      </c>
      <c r="GJ33" s="14">
        <v>34.04</v>
      </c>
    </row>
    <row r="34" spans="149:193" x14ac:dyDescent="0.25">
      <c r="ES34" s="13" t="s">
        <v>66</v>
      </c>
      <c r="ET34" s="13">
        <v>27</v>
      </c>
      <c r="EU34" s="13" t="s">
        <v>67</v>
      </c>
      <c r="EV34" s="14">
        <v>63.265999999999998</v>
      </c>
      <c r="EW34" s="14">
        <v>63.552</v>
      </c>
      <c r="EX34" s="14">
        <v>63.758000000000003</v>
      </c>
      <c r="EY34" s="14">
        <v>64.007000000000005</v>
      </c>
      <c r="EZ34" s="14">
        <v>64.376999999999995</v>
      </c>
      <c r="FA34" s="14">
        <v>64.795000000000002</v>
      </c>
      <c r="FB34" s="14">
        <v>64.902000000000001</v>
      </c>
      <c r="FC34" s="14">
        <v>65.251999999999995</v>
      </c>
      <c r="FD34" s="14">
        <v>65.534999999999997</v>
      </c>
      <c r="FE34" s="14">
        <v>65.847999999999999</v>
      </c>
      <c r="FF34" s="14">
        <v>66.27</v>
      </c>
      <c r="FG34" s="14">
        <v>66.578999999999994</v>
      </c>
      <c r="FH34" s="14">
        <v>66.927999999999997</v>
      </c>
      <c r="FI34" s="14">
        <v>67.435000000000002</v>
      </c>
      <c r="FJ34" s="14">
        <v>68.177000000000007</v>
      </c>
      <c r="FK34" s="14">
        <v>69</v>
      </c>
      <c r="FL34" s="14">
        <v>69.483999999999995</v>
      </c>
      <c r="FM34" s="14">
        <v>69.941999999999993</v>
      </c>
      <c r="FN34" s="14">
        <v>70.418999999999997</v>
      </c>
      <c r="FO34" s="14">
        <v>70.855000000000004</v>
      </c>
      <c r="FP34" s="14">
        <v>71.254999999999995</v>
      </c>
      <c r="FQ34" s="14">
        <v>71.888000000000005</v>
      </c>
      <c r="FR34" s="14">
        <v>72.450999999999993</v>
      </c>
      <c r="FS34" s="14">
        <v>73.028000000000006</v>
      </c>
      <c r="FT34" s="14">
        <v>73.566999999999993</v>
      </c>
      <c r="FU34" s="14">
        <v>74.093999999999994</v>
      </c>
      <c r="FV34" s="14">
        <v>74.626000000000005</v>
      </c>
      <c r="FW34" s="14">
        <v>75.122</v>
      </c>
      <c r="FX34" s="14">
        <v>75.626000000000005</v>
      </c>
      <c r="FY34" s="14">
        <v>76.111999999999995</v>
      </c>
      <c r="FZ34" s="14">
        <v>76.582999999999998</v>
      </c>
      <c r="GA34" s="14">
        <v>77.039000000000001</v>
      </c>
      <c r="GB34" s="14">
        <v>77.483000000000004</v>
      </c>
      <c r="GC34" s="14">
        <v>77.929000000000002</v>
      </c>
      <c r="GD34" s="14">
        <v>78.356999999999999</v>
      </c>
      <c r="GE34" s="14">
        <v>78.781999999999996</v>
      </c>
      <c r="GF34" s="14">
        <v>79.179000000000002</v>
      </c>
      <c r="GG34" s="14">
        <v>79.591999999999999</v>
      </c>
      <c r="GH34" s="14">
        <v>79.992000000000004</v>
      </c>
      <c r="GI34" s="14">
        <v>80.38</v>
      </c>
      <c r="GJ34" s="14">
        <v>80.775999999999996</v>
      </c>
    </row>
    <row r="35" spans="149:193" x14ac:dyDescent="0.25">
      <c r="ES35" s="13" t="s">
        <v>68</v>
      </c>
      <c r="ET35" s="13">
        <v>28</v>
      </c>
      <c r="EU35" s="13" t="s">
        <v>69</v>
      </c>
      <c r="EV35" s="14">
        <v>100.51</v>
      </c>
      <c r="EW35" s="14">
        <v>100.884</v>
      </c>
      <c r="EX35" s="14">
        <v>101.251</v>
      </c>
      <c r="EY35" s="14">
        <v>101.63</v>
      </c>
      <c r="EZ35" s="14">
        <v>102.241</v>
      </c>
      <c r="FA35" s="14">
        <v>102.65</v>
      </c>
      <c r="FB35" s="14">
        <v>103.169</v>
      </c>
      <c r="FC35" s="14">
        <v>103.947</v>
      </c>
      <c r="FD35" s="14">
        <v>104.626</v>
      </c>
      <c r="FE35" s="14">
        <v>105.51900000000001</v>
      </c>
      <c r="FF35" s="14">
        <v>107.226</v>
      </c>
      <c r="FG35" s="14">
        <v>107.812</v>
      </c>
      <c r="FH35" s="14">
        <v>108.247</v>
      </c>
      <c r="FI35" s="14">
        <v>108.974</v>
      </c>
      <c r="FJ35" s="14">
        <v>109.675</v>
      </c>
      <c r="FK35" s="14">
        <v>110.53400000000001</v>
      </c>
      <c r="FL35" s="14">
        <v>111.18</v>
      </c>
      <c r="FM35" s="14">
        <v>111.863</v>
      </c>
      <c r="FN35" s="14">
        <v>112.505</v>
      </c>
      <c r="FO35" s="14">
        <v>113.089</v>
      </c>
      <c r="FP35" s="14">
        <v>113.626</v>
      </c>
      <c r="FQ35" s="14">
        <v>114.31100000000001</v>
      </c>
      <c r="FR35" s="14">
        <v>114.994</v>
      </c>
      <c r="FS35" s="14">
        <v>115.675</v>
      </c>
      <c r="FT35" s="14">
        <v>116.31699999999999</v>
      </c>
      <c r="FU35" s="14">
        <v>116.965</v>
      </c>
      <c r="FV35" s="14">
        <v>117.629</v>
      </c>
      <c r="FW35" s="14">
        <v>118.34099999999999</v>
      </c>
      <c r="FX35" s="14">
        <v>119.042</v>
      </c>
      <c r="FY35" s="14">
        <v>119.724</v>
      </c>
      <c r="FZ35" s="14">
        <v>120.465</v>
      </c>
      <c r="GA35" s="14">
        <v>121.22199999999999</v>
      </c>
      <c r="GB35" s="14">
        <v>121.996</v>
      </c>
      <c r="GC35" s="14">
        <v>122.765</v>
      </c>
      <c r="GD35" s="14">
        <v>123.504</v>
      </c>
      <c r="GE35" s="14">
        <v>124.31</v>
      </c>
      <c r="GF35" s="14">
        <v>125.11199999999999</v>
      </c>
      <c r="GG35" s="14">
        <v>125.93300000000001</v>
      </c>
      <c r="GH35" s="14">
        <v>126.73099999999999</v>
      </c>
      <c r="GI35" s="14">
        <v>127.5</v>
      </c>
      <c r="GJ35" s="14">
        <v>128.30699999999999</v>
      </c>
    </row>
    <row r="36" spans="149:193" x14ac:dyDescent="0.25">
      <c r="ES36" s="13" t="s">
        <v>70</v>
      </c>
      <c r="ET36" s="13">
        <v>29</v>
      </c>
      <c r="EU36" s="13" t="s">
        <v>71</v>
      </c>
      <c r="EV36" s="14">
        <v>52.962000000000003</v>
      </c>
      <c r="EW36" s="14">
        <v>53.667000000000002</v>
      </c>
      <c r="EX36" s="14">
        <v>54.484000000000002</v>
      </c>
      <c r="EY36" s="14">
        <v>55.201999999999998</v>
      </c>
      <c r="EZ36" s="14">
        <v>56.011000000000003</v>
      </c>
      <c r="FA36" s="14">
        <v>56.564</v>
      </c>
      <c r="FB36" s="14">
        <v>57.002000000000002</v>
      </c>
      <c r="FC36" s="14">
        <v>57.433</v>
      </c>
      <c r="FD36" s="14">
        <v>57.890999999999998</v>
      </c>
      <c r="FE36" s="14">
        <v>58.206000000000003</v>
      </c>
      <c r="FF36" s="14">
        <v>58.432000000000002</v>
      </c>
      <c r="FG36" s="14">
        <v>58.692</v>
      </c>
      <c r="FH36" s="14">
        <v>58.591000000000001</v>
      </c>
      <c r="FI36" s="14">
        <v>58.743000000000002</v>
      </c>
      <c r="FJ36" s="14">
        <v>58.896999999999998</v>
      </c>
      <c r="FK36" s="14">
        <v>59.213999999999999</v>
      </c>
      <c r="FL36" s="14">
        <v>59.543999999999997</v>
      </c>
      <c r="FM36" s="14">
        <v>59.753999999999998</v>
      </c>
      <c r="FN36" s="14">
        <v>59.944000000000003</v>
      </c>
      <c r="FO36" s="14">
        <v>60.23</v>
      </c>
      <c r="FP36" s="14">
        <v>60.491999999999997</v>
      </c>
      <c r="FQ36" s="14">
        <v>60.796999999999997</v>
      </c>
      <c r="FR36" s="14">
        <v>61.037999999999997</v>
      </c>
      <c r="FS36" s="14">
        <v>61.298000000000002</v>
      </c>
      <c r="FT36" s="14">
        <v>61.585999999999999</v>
      </c>
      <c r="FU36" s="14">
        <v>61.863</v>
      </c>
      <c r="FV36" s="14">
        <v>62.167000000000002</v>
      </c>
      <c r="FW36" s="14">
        <v>62.442999999999998</v>
      </c>
      <c r="FX36" s="14">
        <v>62.732999999999997</v>
      </c>
      <c r="FY36" s="14">
        <v>63.021999999999998</v>
      </c>
      <c r="FZ36" s="14">
        <v>63.322000000000003</v>
      </c>
      <c r="GA36" s="14">
        <v>63.636000000000003</v>
      </c>
      <c r="GB36" s="14">
        <v>63.929000000000002</v>
      </c>
      <c r="GC36" s="14">
        <v>64.216999999999999</v>
      </c>
      <c r="GD36" s="14">
        <v>64.504999999999995</v>
      </c>
      <c r="GE36" s="14">
        <v>64.807000000000002</v>
      </c>
      <c r="GF36" s="14">
        <v>65.102999999999994</v>
      </c>
      <c r="GG36" s="14">
        <v>65.405000000000001</v>
      </c>
      <c r="GH36" s="14">
        <v>65.700999999999993</v>
      </c>
      <c r="GI36" s="14">
        <v>65.992999999999995</v>
      </c>
      <c r="GJ36" s="14">
        <v>66.305999999999997</v>
      </c>
    </row>
    <row r="37" spans="149:193" x14ac:dyDescent="0.25">
      <c r="ES37" s="13" t="s">
        <v>72</v>
      </c>
      <c r="ET37" s="13">
        <v>30</v>
      </c>
      <c r="EU37" s="13" t="s">
        <v>73</v>
      </c>
      <c r="EV37" s="14">
        <v>97.164000000000001</v>
      </c>
      <c r="EW37" s="14">
        <v>97.594999999999999</v>
      </c>
      <c r="EX37" s="14">
        <v>97.855000000000004</v>
      </c>
      <c r="EY37" s="14">
        <v>98.058000000000007</v>
      </c>
      <c r="EZ37" s="14">
        <v>98.46</v>
      </c>
      <c r="FA37" s="14">
        <v>98.97</v>
      </c>
      <c r="FB37" s="14">
        <v>99.195999999999998</v>
      </c>
      <c r="FC37" s="14">
        <v>99.688999999999993</v>
      </c>
      <c r="FD37" s="14">
        <v>100.075</v>
      </c>
      <c r="FE37" s="14">
        <v>100.622</v>
      </c>
      <c r="FF37" s="14">
        <v>101.45699999999999</v>
      </c>
      <c r="FG37" s="14">
        <v>101.999</v>
      </c>
      <c r="FH37" s="14">
        <v>102.209</v>
      </c>
      <c r="FI37" s="14">
        <v>102.666</v>
      </c>
      <c r="FJ37" s="14">
        <v>103.265</v>
      </c>
      <c r="FK37" s="14">
        <v>104.271</v>
      </c>
      <c r="FL37" s="14">
        <v>104.79300000000001</v>
      </c>
      <c r="FM37" s="14">
        <v>105.352</v>
      </c>
      <c r="FN37" s="14">
        <v>105.871</v>
      </c>
      <c r="FO37" s="14">
        <v>106.325</v>
      </c>
      <c r="FP37" s="14">
        <v>106.75700000000001</v>
      </c>
      <c r="FQ37" s="14">
        <v>107.282</v>
      </c>
      <c r="FR37" s="14">
        <v>107.80500000000001</v>
      </c>
      <c r="FS37" s="14">
        <v>108.35899999999999</v>
      </c>
      <c r="FT37" s="14">
        <v>108.86799999999999</v>
      </c>
      <c r="FU37" s="14">
        <v>109.389</v>
      </c>
      <c r="FV37" s="14">
        <v>109.934</v>
      </c>
      <c r="FW37" s="14">
        <v>110.51900000000001</v>
      </c>
      <c r="FX37" s="14">
        <v>111.1</v>
      </c>
      <c r="FY37" s="14">
        <v>111.68300000000001</v>
      </c>
      <c r="FZ37" s="14">
        <v>112.3</v>
      </c>
      <c r="GA37" s="14">
        <v>112.935</v>
      </c>
      <c r="GB37" s="14">
        <v>113.57299999999999</v>
      </c>
      <c r="GC37" s="14">
        <v>114.206</v>
      </c>
      <c r="GD37" s="14">
        <v>114.83199999999999</v>
      </c>
      <c r="GE37" s="14">
        <v>115.477</v>
      </c>
      <c r="GF37" s="14">
        <v>116.116</v>
      </c>
      <c r="GG37" s="14">
        <v>116.75700000000001</v>
      </c>
      <c r="GH37" s="14">
        <v>117.383</v>
      </c>
      <c r="GI37" s="14">
        <v>118.005</v>
      </c>
      <c r="GJ37" s="14">
        <v>118.63500000000001</v>
      </c>
    </row>
    <row r="38" spans="149:193" x14ac:dyDescent="0.25">
      <c r="ES38" s="13" t="s">
        <v>74</v>
      </c>
      <c r="ET38" s="13">
        <v>31</v>
      </c>
      <c r="EU38" s="13" t="s">
        <v>75</v>
      </c>
      <c r="EV38" s="14">
        <v>38.651000000000003</v>
      </c>
      <c r="EW38" s="14">
        <v>38.78</v>
      </c>
      <c r="EX38" s="14">
        <v>39.11</v>
      </c>
      <c r="EY38" s="14">
        <v>39.207999999999998</v>
      </c>
      <c r="EZ38" s="14">
        <v>39.534999999999997</v>
      </c>
      <c r="FA38" s="14">
        <v>39.868000000000002</v>
      </c>
      <c r="FB38" s="14">
        <v>40.1</v>
      </c>
      <c r="FC38" s="14">
        <v>40.573</v>
      </c>
      <c r="FD38" s="14">
        <v>40.968000000000004</v>
      </c>
      <c r="FE38" s="14">
        <v>41.305999999999997</v>
      </c>
      <c r="FF38" s="14">
        <v>41.728999999999999</v>
      </c>
      <c r="FG38" s="14">
        <v>42.107999999999997</v>
      </c>
      <c r="FH38" s="14">
        <v>42.408999999999999</v>
      </c>
      <c r="FI38" s="14">
        <v>42.709000000000003</v>
      </c>
      <c r="FJ38" s="14">
        <v>42.920999999999999</v>
      </c>
      <c r="FK38" s="14">
        <v>43.378999999999998</v>
      </c>
      <c r="FL38" s="14">
        <v>43.689</v>
      </c>
      <c r="FM38" s="14">
        <v>44.008000000000003</v>
      </c>
      <c r="FN38" s="14">
        <v>44.307000000000002</v>
      </c>
      <c r="FO38" s="14">
        <v>44.594000000000001</v>
      </c>
      <c r="FP38" s="14">
        <v>44.844000000000001</v>
      </c>
      <c r="FQ38" s="14">
        <v>45.097999999999999</v>
      </c>
      <c r="FR38" s="14">
        <v>45.344000000000001</v>
      </c>
      <c r="FS38" s="14">
        <v>45.585000000000001</v>
      </c>
      <c r="FT38" s="14">
        <v>45.819000000000003</v>
      </c>
      <c r="FU38" s="14">
        <v>46.043999999999997</v>
      </c>
      <c r="FV38" s="14">
        <v>46.280999999999999</v>
      </c>
      <c r="FW38" s="14">
        <v>46.524999999999999</v>
      </c>
      <c r="FX38" s="14">
        <v>46.762999999999998</v>
      </c>
      <c r="FY38" s="14">
        <v>46.985999999999997</v>
      </c>
      <c r="FZ38" s="14">
        <v>47.222999999999999</v>
      </c>
      <c r="GA38" s="14">
        <v>47.454000000000001</v>
      </c>
      <c r="GB38" s="14">
        <v>47.703000000000003</v>
      </c>
      <c r="GC38" s="14">
        <v>47.93</v>
      </c>
      <c r="GD38" s="14">
        <v>48.149000000000001</v>
      </c>
      <c r="GE38" s="14">
        <v>48.375</v>
      </c>
      <c r="GF38" s="14">
        <v>48.607999999999997</v>
      </c>
      <c r="GG38" s="14">
        <v>48.844000000000001</v>
      </c>
      <c r="GH38" s="14">
        <v>49.07</v>
      </c>
      <c r="GI38" s="14">
        <v>49.286999999999999</v>
      </c>
      <c r="GJ38" s="14">
        <v>49.508000000000003</v>
      </c>
    </row>
    <row r="39" spans="149:193" x14ac:dyDescent="0.25">
      <c r="ES39" s="13" t="s">
        <v>76</v>
      </c>
      <c r="ET39" s="13">
        <v>32</v>
      </c>
      <c r="EU39" s="13" t="s">
        <v>77</v>
      </c>
      <c r="EV39" s="14">
        <v>46.587000000000003</v>
      </c>
      <c r="EW39" s="14">
        <v>46.871000000000002</v>
      </c>
      <c r="EX39" s="14">
        <v>47.216999999999999</v>
      </c>
      <c r="EY39" s="14">
        <v>47.472000000000001</v>
      </c>
      <c r="EZ39" s="14">
        <v>47.743000000000002</v>
      </c>
      <c r="FA39" s="14">
        <v>48.063000000000002</v>
      </c>
      <c r="FB39" s="14">
        <v>48.396000000000001</v>
      </c>
      <c r="FC39" s="14">
        <v>48.494999999999997</v>
      </c>
      <c r="FD39" s="14">
        <v>48.715000000000003</v>
      </c>
      <c r="FE39" s="14">
        <v>49.082999999999998</v>
      </c>
      <c r="FF39" s="14">
        <v>49.463999999999999</v>
      </c>
      <c r="FG39" s="14">
        <v>49.859000000000002</v>
      </c>
      <c r="FH39" s="14">
        <v>50.268000000000001</v>
      </c>
      <c r="FI39" s="14">
        <v>50.756</v>
      </c>
      <c r="FJ39" s="14">
        <v>51.469000000000001</v>
      </c>
      <c r="FK39" s="14">
        <v>52.125999999999998</v>
      </c>
      <c r="FL39" s="14">
        <v>52.651000000000003</v>
      </c>
      <c r="FM39" s="14">
        <v>53.173000000000002</v>
      </c>
      <c r="FN39" s="14">
        <v>53.673000000000002</v>
      </c>
      <c r="FO39" s="14">
        <v>54.185000000000002</v>
      </c>
      <c r="FP39" s="14">
        <v>54.652999999999999</v>
      </c>
      <c r="FQ39" s="14">
        <v>55.201999999999998</v>
      </c>
      <c r="FR39" s="14">
        <v>55.73</v>
      </c>
      <c r="FS39" s="14">
        <v>56.253</v>
      </c>
      <c r="FT39" s="14">
        <v>56.76</v>
      </c>
      <c r="FU39" s="14">
        <v>57.234000000000002</v>
      </c>
      <c r="FV39" s="14">
        <v>57.718000000000004</v>
      </c>
      <c r="FW39" s="14">
        <v>58.188000000000002</v>
      </c>
      <c r="FX39" s="14">
        <v>58.634</v>
      </c>
      <c r="FY39" s="14">
        <v>59.064</v>
      </c>
      <c r="FZ39" s="14">
        <v>59.481999999999999</v>
      </c>
      <c r="GA39" s="14">
        <v>59.899000000000001</v>
      </c>
      <c r="GB39" s="14">
        <v>60.32</v>
      </c>
      <c r="GC39" s="14">
        <v>60.709000000000003</v>
      </c>
      <c r="GD39" s="14">
        <v>61.076999999999998</v>
      </c>
      <c r="GE39" s="14">
        <v>61.445</v>
      </c>
      <c r="GF39" s="14">
        <v>61.817</v>
      </c>
      <c r="GG39" s="14">
        <v>62.189</v>
      </c>
      <c r="GH39" s="14">
        <v>62.534999999999997</v>
      </c>
      <c r="GI39" s="14">
        <v>62.87</v>
      </c>
      <c r="GJ39" s="14">
        <v>63.207999999999998</v>
      </c>
    </row>
    <row r="40" spans="149:193" x14ac:dyDescent="0.25">
      <c r="ES40" s="13" t="s">
        <v>78</v>
      </c>
      <c r="ET40" s="13">
        <v>33</v>
      </c>
      <c r="EU40" s="13" t="s">
        <v>79</v>
      </c>
      <c r="EV40" s="14">
        <v>40.098999999999997</v>
      </c>
      <c r="EW40" s="14">
        <v>40.280999999999999</v>
      </c>
      <c r="EX40" s="14">
        <v>40.682000000000002</v>
      </c>
      <c r="EY40" s="14">
        <v>40.960999999999999</v>
      </c>
      <c r="EZ40" s="14">
        <v>41.311</v>
      </c>
      <c r="FA40" s="14">
        <v>41.609000000000002</v>
      </c>
      <c r="FB40" s="14">
        <v>41.865000000000002</v>
      </c>
      <c r="FC40" s="14">
        <v>42.106000000000002</v>
      </c>
      <c r="FD40" s="14">
        <v>42.21</v>
      </c>
      <c r="FE40" s="14">
        <v>42.356000000000002</v>
      </c>
      <c r="FF40" s="14">
        <v>42.906999999999996</v>
      </c>
      <c r="FG40" s="14">
        <v>43.06</v>
      </c>
      <c r="FH40" s="14">
        <v>43.298000000000002</v>
      </c>
      <c r="FI40" s="14">
        <v>43.655999999999999</v>
      </c>
      <c r="FJ40" s="14">
        <v>44.021000000000001</v>
      </c>
      <c r="FK40" s="14">
        <v>44.317999999999998</v>
      </c>
      <c r="FL40" s="14">
        <v>44.612000000000002</v>
      </c>
      <c r="FM40" s="14">
        <v>44.902999999999999</v>
      </c>
      <c r="FN40" s="14">
        <v>45.2</v>
      </c>
      <c r="FO40" s="14">
        <v>45.448</v>
      </c>
      <c r="FP40" s="14">
        <v>45.69</v>
      </c>
      <c r="FQ40" s="14">
        <v>45.930999999999997</v>
      </c>
      <c r="FR40" s="14">
        <v>46.164000000000001</v>
      </c>
      <c r="FS40" s="14">
        <v>46.387999999999998</v>
      </c>
      <c r="FT40" s="14">
        <v>46.576000000000001</v>
      </c>
      <c r="FU40" s="14">
        <v>46.75</v>
      </c>
      <c r="FV40" s="14">
        <v>46.951000000000001</v>
      </c>
      <c r="FW40" s="14">
        <v>47.133000000000003</v>
      </c>
      <c r="FX40" s="14">
        <v>47.316000000000003</v>
      </c>
      <c r="FY40" s="14">
        <v>47.469000000000001</v>
      </c>
      <c r="FZ40" s="14">
        <v>47.628999999999998</v>
      </c>
      <c r="GA40" s="14">
        <v>47.790999999999997</v>
      </c>
      <c r="GB40" s="14">
        <v>47.948</v>
      </c>
      <c r="GC40" s="14">
        <v>48.11</v>
      </c>
      <c r="GD40" s="14">
        <v>48.249000000000002</v>
      </c>
      <c r="GE40" s="14">
        <v>48.405000000000001</v>
      </c>
      <c r="GF40" s="14">
        <v>48.57</v>
      </c>
      <c r="GG40" s="14">
        <v>48.73</v>
      </c>
      <c r="GH40" s="14">
        <v>48.893999999999998</v>
      </c>
      <c r="GI40" s="14">
        <v>49.046999999999997</v>
      </c>
      <c r="GJ40" s="14">
        <v>49.219000000000001</v>
      </c>
    </row>
    <row r="42" spans="149:193" x14ac:dyDescent="0.25">
      <c r="ES42" s="23" t="s">
        <v>80</v>
      </c>
      <c r="EU42" s="13" t="s">
        <v>81</v>
      </c>
      <c r="EV42" s="8">
        <v>2001</v>
      </c>
      <c r="EW42" s="8">
        <v>2002</v>
      </c>
      <c r="EX42" s="8">
        <v>2003</v>
      </c>
      <c r="EY42" s="8">
        <v>2004</v>
      </c>
      <c r="EZ42" s="8">
        <v>2005</v>
      </c>
      <c r="FA42" s="8">
        <v>2006</v>
      </c>
      <c r="FB42" s="8">
        <v>2007</v>
      </c>
      <c r="FC42" s="8">
        <v>2008</v>
      </c>
      <c r="FD42" s="8">
        <v>2009</v>
      </c>
      <c r="FE42" s="8">
        <v>2010</v>
      </c>
      <c r="FF42" s="8">
        <v>2011</v>
      </c>
      <c r="FG42" s="8">
        <v>2012</v>
      </c>
      <c r="FH42" s="8">
        <v>2013</v>
      </c>
      <c r="FI42" s="8">
        <v>2014</v>
      </c>
      <c r="FJ42" s="8">
        <v>2015</v>
      </c>
      <c r="FK42" s="8">
        <v>2016</v>
      </c>
      <c r="FL42" s="8">
        <v>2017</v>
      </c>
      <c r="FM42" s="8">
        <v>2018</v>
      </c>
      <c r="FN42" s="8">
        <v>2019</v>
      </c>
      <c r="FO42" s="8">
        <v>2020</v>
      </c>
      <c r="FP42" s="8">
        <v>2021</v>
      </c>
      <c r="FQ42" s="8">
        <v>2022</v>
      </c>
      <c r="FR42" s="8">
        <v>2023</v>
      </c>
      <c r="FS42" s="8">
        <v>2024</v>
      </c>
      <c r="FT42" s="8">
        <v>2025</v>
      </c>
      <c r="FU42" s="8">
        <v>2026</v>
      </c>
      <c r="FV42" s="8">
        <v>2027</v>
      </c>
      <c r="FW42" s="8">
        <v>2028</v>
      </c>
      <c r="FX42" s="8">
        <v>2029</v>
      </c>
      <c r="FY42" s="8">
        <v>2030</v>
      </c>
      <c r="FZ42" s="8">
        <v>2031</v>
      </c>
      <c r="GA42" s="8">
        <v>2032</v>
      </c>
      <c r="GB42" s="8">
        <v>2033</v>
      </c>
      <c r="GC42" s="8">
        <v>2034</v>
      </c>
      <c r="GD42" s="8">
        <v>2035</v>
      </c>
      <c r="GE42" s="8">
        <v>2036</v>
      </c>
      <c r="GF42" s="8">
        <v>2037</v>
      </c>
      <c r="GG42" s="8">
        <v>2038</v>
      </c>
      <c r="GH42" s="8">
        <v>2039</v>
      </c>
      <c r="GI42" s="8">
        <v>2040</v>
      </c>
      <c r="GJ42" s="8">
        <v>2041</v>
      </c>
    </row>
    <row r="43" spans="149:193" x14ac:dyDescent="0.25">
      <c r="ES43" s="24">
        <v>4</v>
      </c>
      <c r="EU43" t="str">
        <f>INDEX(ET8:EU40,ES43,2)</f>
        <v>Birmingham</v>
      </c>
      <c r="EV43" s="25">
        <f>INDEX($EV$8:$GJ$40,MATCH($EU$43,$EU$8:$EU$40,0),1)</f>
        <v>392.03300000000002</v>
      </c>
      <c r="EW43" s="25">
        <f>INDEX($EV$8:$GJ$40,MATCH($EU$43,$EU$8:$EU$40,0),2)</f>
        <v>392.34399999999999</v>
      </c>
      <c r="EX43" s="25">
        <f>INDEX($EV$8:$GJ$40,MATCH($EU$43,$EU$8:$EU$40,0),3)</f>
        <v>392.13200000000001</v>
      </c>
      <c r="EY43" s="25">
        <f>INDEX($EV$8:$GJ$40,MATCH($EU$43,$EU$8:$EU$40,0),4)</f>
        <v>391.81900000000002</v>
      </c>
      <c r="EZ43" s="25">
        <f>INDEX($EV$8:$GJ$40,MATCH($EU$43,$EU$8:$EU$40,0),5)</f>
        <v>394.64</v>
      </c>
      <c r="FA43" s="25">
        <f>INDEX($EV$8:$GJ$40,MATCH($EU$43,$EU$8:$EU$40,0),6)</f>
        <v>395.12799999999999</v>
      </c>
      <c r="FB43" s="25">
        <f>INDEX($EV$8:$GJ$40,MATCH($EU$43,$EU$8:$EU$40,0),7)</f>
        <v>396.68</v>
      </c>
      <c r="FC43" s="25">
        <f>INDEX($EV$8:$GJ$40,MATCH($EU$43,$EU$8:$EU$40,0),8)</f>
        <v>398.95800000000003</v>
      </c>
      <c r="FD43" s="25">
        <f>INDEX($EV$8:$GJ$40,MATCH($EU$43,$EU$8:$EU$40,0),9)</f>
        <v>401.37099999999998</v>
      </c>
      <c r="FE43" s="25">
        <f>INDEX($EV$8:$GJ$40,MATCH($EU$43,$EU$8:$EU$40,0),10)</f>
        <v>404.00700000000001</v>
      </c>
      <c r="FF43" s="25">
        <f>INDEX($EV$8:$GJ$40,MATCH($EU$43,$EU$8:$EU$40,0),11)</f>
        <v>407.77</v>
      </c>
      <c r="FG43" s="25">
        <f>INDEX($EV$8:$GJ$40,MATCH($EU$43,$EU$8:$EU$40,0),12)</f>
        <v>409.935</v>
      </c>
      <c r="FH43" s="25">
        <f>INDEX($EV$8:$GJ$40,MATCH($EU$43,$EU$8:$EU$40,0),13)</f>
        <v>411.09899999999999</v>
      </c>
      <c r="FI43" s="25">
        <f>INDEX($EV$8:$GJ$40,MATCH($EU$43,$EU$8:$EU$40,0),14)</f>
        <v>413.178</v>
      </c>
      <c r="FJ43" s="25">
        <f>INDEX($EV$8:$GJ$40,MATCH($EU$43,$EU$8:$EU$40,0),15)</f>
        <v>415.59199999999998</v>
      </c>
      <c r="FK43" s="25">
        <f>INDEX($EV$8:$GJ$40,MATCH($EU$43,$EU$8:$EU$40,0),16)</f>
        <v>419.51900000000001</v>
      </c>
      <c r="FL43" s="25">
        <f>INDEX($EV$8:$GJ$40,MATCH($EU$43,$EU$8:$EU$40,0),17)</f>
        <v>421.91500000000002</v>
      </c>
      <c r="FM43" s="25">
        <f>INDEX($EV$8:$GJ$40,MATCH($EU$43,$EU$8:$EU$40,0),18)</f>
        <v>424.30599999999998</v>
      </c>
      <c r="FN43" s="25">
        <f>INDEX($EV$8:$GJ$40,MATCH($EU$43,$EU$8:$EU$40,0),19)</f>
        <v>426.56599999999997</v>
      </c>
      <c r="FO43" s="25">
        <f>INDEX($EV$8:$GJ$40,MATCH($EU$43,$EU$8:$EU$40,0),20)</f>
        <v>428.78399999999999</v>
      </c>
      <c r="FP43" s="25">
        <f>INDEX($EV$8:$GJ$40,MATCH($EU$43,$EU$8:$EU$40,0),21)</f>
        <v>430.90899999999999</v>
      </c>
      <c r="FQ43" s="25">
        <f>INDEX($EV$8:$GJ$40,MATCH($EU$43,$EU$8:$EU$40,0),22)</f>
        <v>434.16800000000001</v>
      </c>
      <c r="FR43" s="25">
        <f>INDEX($EV$8:$GJ$40,MATCH($EU$43,$EU$8:$EU$40,0),23)</f>
        <v>437.37799999999999</v>
      </c>
      <c r="FS43" s="25">
        <f>INDEX($EV$8:$GJ$40,MATCH($EU$43,$EU$8:$EU$40,0),24)</f>
        <v>440.62799999999999</v>
      </c>
      <c r="FT43" s="25">
        <f>INDEX($EV$8:$GJ$40,MATCH($EU$43,$EU$8:$EU$40,0),25)</f>
        <v>443.88200000000001</v>
      </c>
      <c r="FU43" s="25">
        <f>INDEX($EV$8:$GJ$40,MATCH($EU$43,$EU$8:$EU$40,0),26)</f>
        <v>447.17099999999999</v>
      </c>
      <c r="FV43" s="25">
        <f>INDEX($EV$8:$GJ$40,MATCH($EU$43,$EU$8:$EU$40,0),27)</f>
        <v>450.46</v>
      </c>
      <c r="FW43" s="25">
        <f>INDEX($EV$8:$GJ$40,MATCH($EU$43,$EU$8:$EU$40,0),28)</f>
        <v>453.84100000000001</v>
      </c>
      <c r="FX43" s="25">
        <f>INDEX($EV$8:$GJ$40,MATCH($EU$43,$EU$8:$EU$40,0),29)</f>
        <v>457.221</v>
      </c>
      <c r="FY43" s="25">
        <f>INDEX($EV$8:$GJ$40,MATCH($EU$43,$EU$8:$EU$40,0),30)</f>
        <v>460.53300000000002</v>
      </c>
      <c r="FZ43" s="25">
        <f>INDEX($EV$8:$GJ$40,MATCH($EU$43,$EU$8:$EU$40,0),31)</f>
        <v>463.95100000000002</v>
      </c>
      <c r="GA43" s="25">
        <f>INDEX($EV$8:$GJ$40,MATCH($EU$43,$EU$8:$EU$40,0),32)</f>
        <v>467.53500000000003</v>
      </c>
      <c r="GB43" s="25">
        <f>INDEX($EV$8:$GJ$40,MATCH($EU$43,$EU$8:$EU$40,0),33)</f>
        <v>471.08300000000003</v>
      </c>
      <c r="GC43" s="25">
        <f>INDEX($EV$8:$GJ$40,MATCH($EU$43,$EU$8:$EU$40,0),34)</f>
        <v>474.54199999999997</v>
      </c>
      <c r="GD43" s="25">
        <f>INDEX($EV$8:$GJ$40,MATCH($EU$43,$EU$8:$EU$40,0),35)</f>
        <v>477.88</v>
      </c>
      <c r="GE43" s="25">
        <f>INDEX($EV$8:$GJ$40,MATCH($EU$43,$EU$8:$EU$40,0),36)</f>
        <v>481.31900000000002</v>
      </c>
      <c r="GF43" s="25">
        <f>INDEX($EV$8:$GJ$40,MATCH($EU$43,$EU$8:$EU$40,0),37)</f>
        <v>484.79399999999998</v>
      </c>
      <c r="GG43" s="25">
        <f>INDEX($EV$8:$GJ$40,MATCH($EU$43,$EU$8:$EU$40,0),38)</f>
        <v>488.25200000000001</v>
      </c>
      <c r="GH43" s="25">
        <f>INDEX($EV$8:$GJ$40,MATCH($EU$43,$EU$8:$EU$40,0),39)</f>
        <v>491.61599999999999</v>
      </c>
      <c r="GI43" s="25">
        <f>INDEX($EV$8:$GJ$40,MATCH($EU$43,$EU$8:$EU$40,0),40)</f>
        <v>494.85599999999999</v>
      </c>
      <c r="GJ43" s="25">
        <f>INDEX($EV$8:$GJ$40,MATCH($EU$43,$EU$8:$EU$40,0),41)</f>
        <v>498.13600000000002</v>
      </c>
    </row>
    <row r="44" spans="149:193" x14ac:dyDescent="0.25"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</row>
    <row r="46" spans="149:193" s="17" customFormat="1" x14ac:dyDescent="0.25"/>
    <row r="47" spans="149:193" s="17" customFormat="1" x14ac:dyDescent="0.25"/>
    <row r="48" spans="149:193" s="17" customFormat="1" x14ac:dyDescent="0.25">
      <c r="ES48" s="1" t="s">
        <v>82</v>
      </c>
      <c r="ET48" s="1"/>
      <c r="EU48" s="1" t="s">
        <v>83</v>
      </c>
      <c r="EV48" s="16">
        <v>326.399</v>
      </c>
      <c r="EW48" s="16">
        <v>328.733</v>
      </c>
      <c r="EX48" s="16">
        <v>332.036</v>
      </c>
      <c r="EY48" s="16">
        <v>334.61700000000002</v>
      </c>
      <c r="EZ48" s="16">
        <v>337.36900000000003</v>
      </c>
      <c r="FA48" s="16">
        <v>340.14499999999998</v>
      </c>
      <c r="FB48" s="16">
        <v>343.125</v>
      </c>
      <c r="FC48" s="16">
        <v>346.47</v>
      </c>
      <c r="FD48" s="16">
        <v>348.714</v>
      </c>
      <c r="FE48" s="16">
        <v>351.37400000000002</v>
      </c>
      <c r="FF48" s="16">
        <v>354.64100000000002</v>
      </c>
      <c r="FG48" s="16">
        <v>356.69600000000003</v>
      </c>
      <c r="FH48" s="16">
        <v>359.27</v>
      </c>
      <c r="FI48" s="16">
        <v>361.80799999999999</v>
      </c>
      <c r="FJ48" s="16">
        <v>364.05</v>
      </c>
      <c r="FK48" s="16">
        <v>366.75200000000001</v>
      </c>
      <c r="FL48" s="16">
        <v>368.98200000000003</v>
      </c>
      <c r="FM48" s="16">
        <v>371.12799999999999</v>
      </c>
      <c r="FN48" s="16">
        <v>373.15899999999999</v>
      </c>
      <c r="FO48" s="16">
        <v>375.15100000000001</v>
      </c>
      <c r="FP48" s="16">
        <v>376.93200000000002</v>
      </c>
      <c r="FQ48" s="16">
        <v>378.88799999999998</v>
      </c>
      <c r="FR48" s="16">
        <v>380.74799999999999</v>
      </c>
      <c r="FS48" s="16">
        <v>382.53800000000001</v>
      </c>
      <c r="FT48" s="16">
        <v>384.21800000000002</v>
      </c>
      <c r="FU48" s="16">
        <v>385.74900000000002</v>
      </c>
      <c r="FV48" s="16">
        <v>387.334</v>
      </c>
      <c r="FW48" s="16">
        <v>388.88799999999998</v>
      </c>
      <c r="FX48" s="16">
        <v>390.327</v>
      </c>
      <c r="FY48" s="16">
        <v>391.67200000000003</v>
      </c>
      <c r="FZ48" s="16">
        <v>393.03399999999999</v>
      </c>
      <c r="GA48" s="16">
        <v>394.36900000000003</v>
      </c>
      <c r="GB48" s="16">
        <v>395.721</v>
      </c>
      <c r="GC48" s="16">
        <v>397.02499999999998</v>
      </c>
      <c r="GD48" s="16">
        <v>398.28300000000002</v>
      </c>
      <c r="GE48" s="16">
        <v>399.63299999999998</v>
      </c>
      <c r="GF48" s="16">
        <v>400.923</v>
      </c>
      <c r="GG48" s="16">
        <v>402.25799999999998</v>
      </c>
      <c r="GH48" s="16">
        <v>403.57400000000001</v>
      </c>
      <c r="GI48" s="16">
        <v>404.83600000000001</v>
      </c>
      <c r="GJ48" s="16">
        <v>406.20800000000003</v>
      </c>
    </row>
    <row r="49" spans="149:192" s="17" customFormat="1" x14ac:dyDescent="0.25">
      <c r="ES49" s="1" t="s">
        <v>84</v>
      </c>
      <c r="ET49" s="1"/>
      <c r="EU49" s="1" t="s">
        <v>85</v>
      </c>
      <c r="EV49" s="16">
        <v>209.42599999999999</v>
      </c>
      <c r="EW49" s="16">
        <v>211.315</v>
      </c>
      <c r="EX49" s="16">
        <v>213.33099999999999</v>
      </c>
      <c r="EY49" s="16">
        <v>215.07</v>
      </c>
      <c r="EZ49" s="16">
        <v>217.47300000000001</v>
      </c>
      <c r="FA49" s="16">
        <v>220.107</v>
      </c>
      <c r="FB49" s="16">
        <v>222.535</v>
      </c>
      <c r="FC49" s="16">
        <v>225.15</v>
      </c>
      <c r="FD49" s="16">
        <v>226.84100000000001</v>
      </c>
      <c r="FE49" s="16">
        <v>228.583</v>
      </c>
      <c r="FF49" s="16">
        <v>230.453</v>
      </c>
      <c r="FG49" s="16">
        <v>231.702</v>
      </c>
      <c r="FH49" s="16">
        <v>232.489</v>
      </c>
      <c r="FI49" s="16">
        <v>233.999</v>
      </c>
      <c r="FJ49" s="16">
        <v>235.36199999999999</v>
      </c>
      <c r="FK49" s="16">
        <v>237.364</v>
      </c>
      <c r="FL49" s="16">
        <v>238.87899999999999</v>
      </c>
      <c r="FM49" s="16">
        <v>240.23</v>
      </c>
      <c r="FN49" s="16">
        <v>241.577</v>
      </c>
      <c r="FO49" s="16">
        <v>242.99299999999999</v>
      </c>
      <c r="FP49" s="16">
        <v>244.35900000000001</v>
      </c>
      <c r="FQ49" s="16">
        <v>245.89</v>
      </c>
      <c r="FR49" s="16">
        <v>247.297</v>
      </c>
      <c r="FS49" s="16">
        <v>248.733</v>
      </c>
      <c r="FT49" s="16">
        <v>250.13200000000001</v>
      </c>
      <c r="FU49" s="16">
        <v>251.47900000000001</v>
      </c>
      <c r="FV49" s="16">
        <v>252.92099999999999</v>
      </c>
      <c r="FW49" s="16">
        <v>254.25200000000001</v>
      </c>
      <c r="FX49" s="16">
        <v>255.59100000000001</v>
      </c>
      <c r="FY49" s="16">
        <v>256.88799999999998</v>
      </c>
      <c r="FZ49" s="16">
        <v>258.23099999999999</v>
      </c>
      <c r="GA49" s="16">
        <v>259.60199999999998</v>
      </c>
      <c r="GB49" s="16">
        <v>260.90499999999997</v>
      </c>
      <c r="GC49" s="16">
        <v>262.178</v>
      </c>
      <c r="GD49" s="16">
        <v>263.447</v>
      </c>
      <c r="GE49" s="16">
        <v>264.80399999999997</v>
      </c>
      <c r="GF49" s="16">
        <v>266.12400000000002</v>
      </c>
      <c r="GG49" s="16">
        <v>267.45</v>
      </c>
      <c r="GH49" s="16">
        <v>268.77499999999998</v>
      </c>
      <c r="GI49" s="16">
        <v>270.08499999999998</v>
      </c>
      <c r="GJ49" s="16">
        <v>271.49700000000001</v>
      </c>
    </row>
    <row r="50" spans="149:192" s="17" customFormat="1" x14ac:dyDescent="0.25">
      <c r="ES50" s="1" t="s">
        <v>86</v>
      </c>
      <c r="ET50" s="1"/>
      <c r="EU50" s="1" t="s">
        <v>87</v>
      </c>
      <c r="EV50" s="16">
        <v>221.77</v>
      </c>
      <c r="EW50" s="16">
        <v>223.40299999999999</v>
      </c>
      <c r="EX50" s="16">
        <v>225.35599999999999</v>
      </c>
      <c r="EY50" s="16">
        <v>226.684</v>
      </c>
      <c r="EZ50" s="16">
        <v>228.33600000000001</v>
      </c>
      <c r="FA50" s="16">
        <v>230.29</v>
      </c>
      <c r="FB50" s="16">
        <v>232.09299999999999</v>
      </c>
      <c r="FC50" s="16">
        <v>233.785</v>
      </c>
      <c r="FD50" s="16">
        <v>235.084</v>
      </c>
      <c r="FE50" s="16">
        <v>236.71700000000001</v>
      </c>
      <c r="FF50" s="16">
        <v>239.02600000000001</v>
      </c>
      <c r="FG50" s="16">
        <v>240.55500000000001</v>
      </c>
      <c r="FH50" s="16">
        <v>242.048</v>
      </c>
      <c r="FI50" s="16">
        <v>244.09</v>
      </c>
      <c r="FJ50" s="16">
        <v>245.893</v>
      </c>
      <c r="FK50" s="16">
        <v>248.12799999999999</v>
      </c>
      <c r="FL50" s="16">
        <v>249.922</v>
      </c>
      <c r="FM50" s="16">
        <v>251.715</v>
      </c>
      <c r="FN50" s="16">
        <v>253.489</v>
      </c>
      <c r="FO50" s="16">
        <v>255.16800000000001</v>
      </c>
      <c r="FP50" s="16">
        <v>256.72800000000001</v>
      </c>
      <c r="FQ50" s="16">
        <v>258.48</v>
      </c>
      <c r="FR50" s="16">
        <v>260.17399999999998</v>
      </c>
      <c r="FS50" s="16">
        <v>261.87</v>
      </c>
      <c r="FT50" s="16">
        <v>263.46100000000001</v>
      </c>
      <c r="FU50" s="16">
        <v>264.98599999999999</v>
      </c>
      <c r="FV50" s="16">
        <v>266.56299999999999</v>
      </c>
      <c r="FW50" s="16">
        <v>268.09199999999998</v>
      </c>
      <c r="FX50" s="16">
        <v>269.57900000000001</v>
      </c>
      <c r="FY50" s="16">
        <v>270.99099999999999</v>
      </c>
      <c r="FZ50" s="16">
        <v>272.39400000000001</v>
      </c>
      <c r="GA50" s="16">
        <v>273.78199999999998</v>
      </c>
      <c r="GB50" s="16">
        <v>275.17</v>
      </c>
      <c r="GC50" s="16">
        <v>276.476</v>
      </c>
      <c r="GD50" s="16">
        <v>277.73399999999998</v>
      </c>
      <c r="GE50" s="16">
        <v>279.00700000000001</v>
      </c>
      <c r="GF50" s="16">
        <v>280.27499999999998</v>
      </c>
      <c r="GG50" s="16">
        <v>281.54700000000003</v>
      </c>
      <c r="GH50" s="16">
        <v>282.767</v>
      </c>
      <c r="GI50" s="16">
        <v>283.95999999999998</v>
      </c>
      <c r="GJ50" s="16">
        <v>285.19400000000002</v>
      </c>
    </row>
  </sheetData>
  <mergeCells count="3">
    <mergeCell ref="M5:M6"/>
    <mergeCell ref="N5:N6"/>
    <mergeCell ref="O5:P5"/>
  </mergeCells>
  <pageMargins left="3.937007874015748E-2" right="3.937007874015748E-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12</xdr:col>
                    <xdr:colOff>466725</xdr:colOff>
                    <xdr:row>0</xdr:row>
                    <xdr:rowOff>38100</xdr:rowOff>
                  </from>
                  <to>
                    <xdr:col>16</xdr:col>
                    <xdr:colOff>66675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V42"/>
  <sheetViews>
    <sheetView workbookViewId="0"/>
  </sheetViews>
  <sheetFormatPr defaultRowHeight="15" x14ac:dyDescent="0.25"/>
  <cols>
    <col min="62" max="62" width="10.5703125" style="38" bestFit="1" customWidth="1"/>
    <col min="63" max="63" width="10.5703125" style="38" customWidth="1"/>
    <col min="64" max="64" width="11.7109375" style="38" bestFit="1" customWidth="1"/>
  </cols>
  <sheetData>
    <row r="1" spans="1:68" ht="21" x14ac:dyDescent="0.35">
      <c r="A1" s="83" t="s">
        <v>95</v>
      </c>
      <c r="BJ1" s="26" t="s">
        <v>88</v>
      </c>
      <c r="BK1" s="26" t="s">
        <v>89</v>
      </c>
      <c r="BL1" s="27" t="s">
        <v>90</v>
      </c>
      <c r="BM1" s="28" t="s">
        <v>91</v>
      </c>
      <c r="BN1" t="s">
        <v>92</v>
      </c>
      <c r="BO1" t="s">
        <v>93</v>
      </c>
      <c r="BP1" t="s">
        <v>94</v>
      </c>
    </row>
    <row r="2" spans="1:68" x14ac:dyDescent="0.25">
      <c r="BJ2" s="29">
        <v>2001</v>
      </c>
      <c r="BK2" s="30">
        <v>392.03300000000002</v>
      </c>
      <c r="BL2" s="31">
        <v>390.5</v>
      </c>
      <c r="BM2" s="32">
        <v>390.5</v>
      </c>
      <c r="BN2">
        <v>391</v>
      </c>
      <c r="BO2" s="33">
        <v>390.50599999999997</v>
      </c>
      <c r="BP2" s="34">
        <v>391</v>
      </c>
    </row>
    <row r="3" spans="1:68" x14ac:dyDescent="0.25">
      <c r="BJ3" s="29">
        <v>2002</v>
      </c>
      <c r="BK3" s="30">
        <v>392.34399999999999</v>
      </c>
      <c r="BL3" s="31">
        <v>391.721</v>
      </c>
      <c r="BM3" s="32">
        <v>391.714</v>
      </c>
      <c r="BN3">
        <v>392</v>
      </c>
      <c r="BO3" s="33">
        <v>392.39600000000002</v>
      </c>
      <c r="BP3" s="34">
        <v>395</v>
      </c>
    </row>
    <row r="4" spans="1:68" x14ac:dyDescent="0.25">
      <c r="BJ4" s="29">
        <v>2003</v>
      </c>
      <c r="BK4" s="30">
        <v>392.13200000000001</v>
      </c>
      <c r="BL4" s="31">
        <v>392.32400000000001</v>
      </c>
      <c r="BM4" s="32">
        <v>392.31200000000001</v>
      </c>
      <c r="BN4">
        <v>392</v>
      </c>
      <c r="BO4" s="33">
        <v>393.28800000000001</v>
      </c>
      <c r="BP4" s="34">
        <v>397</v>
      </c>
    </row>
    <row r="5" spans="1:68" x14ac:dyDescent="0.25">
      <c r="BJ5" s="29">
        <v>2004</v>
      </c>
      <c r="BK5" s="30">
        <v>391.81900000000002</v>
      </c>
      <c r="BL5" s="31">
        <v>392.73700000000002</v>
      </c>
      <c r="BM5" s="32">
        <v>392.72</v>
      </c>
      <c r="BN5">
        <v>392</v>
      </c>
      <c r="BO5" s="33">
        <v>393.97300000000001</v>
      </c>
      <c r="BP5" s="34">
        <v>399</v>
      </c>
    </row>
    <row r="6" spans="1:68" x14ac:dyDescent="0.25">
      <c r="BJ6" s="29">
        <v>2005</v>
      </c>
      <c r="BK6" s="30">
        <v>394.64</v>
      </c>
      <c r="BL6" s="31">
        <v>396.29500000000002</v>
      </c>
      <c r="BM6" s="32">
        <v>396.27199999999999</v>
      </c>
      <c r="BN6">
        <v>395</v>
      </c>
      <c r="BO6" s="33">
        <v>397.56299999999999</v>
      </c>
      <c r="BP6" s="34">
        <v>404</v>
      </c>
    </row>
    <row r="7" spans="1:68" x14ac:dyDescent="0.25">
      <c r="BJ7" s="29">
        <v>2006</v>
      </c>
      <c r="BK7" s="30">
        <v>395.12799999999999</v>
      </c>
      <c r="BL7" s="31">
        <v>397.31700000000001</v>
      </c>
      <c r="BM7" s="32">
        <v>397.28899999999999</v>
      </c>
      <c r="BN7">
        <v>396</v>
      </c>
      <c r="BO7" s="33">
        <v>399.464</v>
      </c>
      <c r="BP7" s="34">
        <v>407</v>
      </c>
    </row>
    <row r="8" spans="1:68" x14ac:dyDescent="0.25">
      <c r="BJ8" s="29">
        <v>2007</v>
      </c>
      <c r="BK8" s="30">
        <v>396.68</v>
      </c>
      <c r="BL8" s="31">
        <v>399.35199999999998</v>
      </c>
      <c r="BM8" s="32">
        <v>399.32</v>
      </c>
      <c r="BN8">
        <v>397</v>
      </c>
      <c r="BO8" s="33">
        <v>401.75799999999998</v>
      </c>
    </row>
    <row r="9" spans="1:68" x14ac:dyDescent="0.25">
      <c r="BJ9" s="29">
        <v>2008</v>
      </c>
      <c r="BK9" s="30">
        <v>398.95800000000003</v>
      </c>
      <c r="BL9" s="31">
        <v>402.05200000000002</v>
      </c>
      <c r="BM9" s="32">
        <v>402.01600000000002</v>
      </c>
      <c r="BN9">
        <v>399</v>
      </c>
      <c r="BO9" s="33">
        <v>405.55900000000003</v>
      </c>
    </row>
    <row r="10" spans="1:68" x14ac:dyDescent="0.25">
      <c r="BJ10" s="29">
        <v>2009</v>
      </c>
      <c r="BK10" s="30">
        <v>401.37099999999998</v>
      </c>
      <c r="BL10" s="31">
        <v>404.75400000000002</v>
      </c>
      <c r="BM10" s="32">
        <v>404.71499999999997</v>
      </c>
      <c r="BN10">
        <v>401</v>
      </c>
      <c r="BO10" s="33">
        <v>407.99400000000003</v>
      </c>
    </row>
    <row r="11" spans="1:68" x14ac:dyDescent="0.25">
      <c r="BJ11" s="29">
        <v>2010</v>
      </c>
      <c r="BK11" s="30">
        <v>404.00700000000001</v>
      </c>
      <c r="BL11" s="31">
        <v>407.512</v>
      </c>
      <c r="BM11" s="32">
        <v>407.46899999999999</v>
      </c>
      <c r="BN11">
        <v>404</v>
      </c>
      <c r="BO11" s="33">
        <v>411.75799999999998</v>
      </c>
    </row>
    <row r="12" spans="1:68" x14ac:dyDescent="0.25">
      <c r="BJ12" s="29">
        <v>2011</v>
      </c>
      <c r="BK12" s="30">
        <v>407.77</v>
      </c>
      <c r="BL12" s="31">
        <v>411.24</v>
      </c>
      <c r="BM12" s="32">
        <v>411.19499999999999</v>
      </c>
      <c r="BN12">
        <v>411</v>
      </c>
      <c r="BO12" s="33">
        <v>415.71300000000002</v>
      </c>
      <c r="BP12">
        <v>428</v>
      </c>
    </row>
    <row r="13" spans="1:68" x14ac:dyDescent="0.25">
      <c r="BJ13" s="26">
        <v>2012</v>
      </c>
      <c r="BK13" s="30">
        <v>409.935</v>
      </c>
      <c r="BL13" s="31">
        <v>415.46899999999999</v>
      </c>
      <c r="BM13" s="32">
        <v>415.44</v>
      </c>
      <c r="BN13">
        <v>415</v>
      </c>
      <c r="BO13" s="33">
        <v>419.74599999999998</v>
      </c>
    </row>
    <row r="14" spans="1:68" x14ac:dyDescent="0.25">
      <c r="BJ14" s="26">
        <v>2013</v>
      </c>
      <c r="BK14" s="30">
        <v>411.09899999999999</v>
      </c>
      <c r="BL14" s="31">
        <v>418.37900000000002</v>
      </c>
      <c r="BM14" s="32">
        <v>418.84500000000003</v>
      </c>
      <c r="BN14">
        <v>418</v>
      </c>
      <c r="BO14" s="33">
        <v>423.68400000000003</v>
      </c>
    </row>
    <row r="15" spans="1:68" x14ac:dyDescent="0.25">
      <c r="BJ15" s="26">
        <v>2014</v>
      </c>
      <c r="BK15" s="30">
        <v>413.178</v>
      </c>
      <c r="BL15" s="31">
        <v>422</v>
      </c>
      <c r="BM15" s="32">
        <v>422.74400000000003</v>
      </c>
      <c r="BN15">
        <v>422</v>
      </c>
      <c r="BO15" s="33">
        <v>427.63099999999997</v>
      </c>
    </row>
    <row r="16" spans="1:68" x14ac:dyDescent="0.25">
      <c r="BJ16" s="26">
        <v>2015</v>
      </c>
      <c r="BK16" s="30">
        <v>415.59199999999998</v>
      </c>
      <c r="BL16" s="31">
        <v>426.57499999999999</v>
      </c>
      <c r="BM16" s="32">
        <v>426.80599999999998</v>
      </c>
      <c r="BN16">
        <v>426</v>
      </c>
      <c r="BO16" s="33">
        <v>431.745</v>
      </c>
    </row>
    <row r="17" spans="62:80" x14ac:dyDescent="0.25">
      <c r="BJ17" s="26">
        <v>2016</v>
      </c>
      <c r="BK17" s="30">
        <v>419.51900000000001</v>
      </c>
      <c r="BL17" s="31">
        <v>431.21899999999999</v>
      </c>
      <c r="BM17" s="32">
        <v>431.08300000000003</v>
      </c>
      <c r="BN17">
        <v>429</v>
      </c>
      <c r="BO17" s="33">
        <v>435.91699999999997</v>
      </c>
      <c r="BP17">
        <v>450</v>
      </c>
    </row>
    <row r="18" spans="62:80" x14ac:dyDescent="0.25">
      <c r="BJ18" s="26">
        <v>2017</v>
      </c>
      <c r="BK18" s="30">
        <v>421.91500000000002</v>
      </c>
      <c r="BL18" s="31">
        <v>435.67899999999997</v>
      </c>
      <c r="BM18" s="32">
        <v>435.29399999999998</v>
      </c>
      <c r="BN18">
        <v>433</v>
      </c>
      <c r="BO18" s="33">
        <v>440.197</v>
      </c>
    </row>
    <row r="19" spans="62:80" x14ac:dyDescent="0.25">
      <c r="BJ19" s="26">
        <v>2018</v>
      </c>
      <c r="BK19" s="30">
        <v>424.30599999999998</v>
      </c>
      <c r="BL19" s="31">
        <v>439.99700000000001</v>
      </c>
      <c r="BM19" s="32">
        <v>439.51499999999999</v>
      </c>
      <c r="BN19">
        <v>437</v>
      </c>
      <c r="BO19" s="33">
        <v>444.41199999999998</v>
      </c>
    </row>
    <row r="20" spans="62:80" x14ac:dyDescent="0.25">
      <c r="BJ20" s="29">
        <v>2019</v>
      </c>
      <c r="BK20" s="30">
        <v>426.56599999999997</v>
      </c>
      <c r="BL20" s="31">
        <v>444.29700000000003</v>
      </c>
      <c r="BM20" s="32">
        <v>443.81900000000002</v>
      </c>
      <c r="BN20">
        <v>441</v>
      </c>
      <c r="BO20" s="33">
        <v>448.57499999999999</v>
      </c>
    </row>
    <row r="21" spans="62:80" x14ac:dyDescent="0.25">
      <c r="BJ21" s="29">
        <v>2020</v>
      </c>
      <c r="BK21" s="30">
        <v>428.78399999999999</v>
      </c>
      <c r="BL21" s="31">
        <v>448.709</v>
      </c>
      <c r="BM21" s="32">
        <v>448.20699999999999</v>
      </c>
      <c r="BN21">
        <v>444</v>
      </c>
      <c r="BO21" s="33">
        <v>452.72</v>
      </c>
    </row>
    <row r="22" spans="62:80" x14ac:dyDescent="0.25">
      <c r="BJ22" s="29">
        <v>2021</v>
      </c>
      <c r="BK22" s="30">
        <v>430.90899999999999</v>
      </c>
      <c r="BL22" s="31">
        <v>453.14600000000002</v>
      </c>
      <c r="BM22" s="32">
        <v>452.58100000000002</v>
      </c>
      <c r="BN22">
        <v>448</v>
      </c>
      <c r="BO22" s="33">
        <v>456.74700000000001</v>
      </c>
      <c r="BP22">
        <v>472</v>
      </c>
    </row>
    <row r="23" spans="62:80" x14ac:dyDescent="0.25">
      <c r="BJ23" s="29">
        <v>2022</v>
      </c>
      <c r="BK23" s="30">
        <v>434.16800000000001</v>
      </c>
      <c r="BL23" s="31">
        <v>457.49099999999999</v>
      </c>
      <c r="BM23" s="32">
        <v>456.86900000000003</v>
      </c>
      <c r="BO23" s="33">
        <v>460.86</v>
      </c>
    </row>
    <row r="24" spans="62:80" x14ac:dyDescent="0.25">
      <c r="BJ24" s="29">
        <v>2023</v>
      </c>
      <c r="BK24" s="30">
        <v>437.37799999999999</v>
      </c>
      <c r="BL24" s="31">
        <v>461.839</v>
      </c>
      <c r="BM24" s="32">
        <v>461.19499999999999</v>
      </c>
      <c r="BO24" s="33">
        <v>464.97800000000001</v>
      </c>
    </row>
    <row r="25" spans="62:80" x14ac:dyDescent="0.25">
      <c r="BJ25" s="29">
        <v>2024</v>
      </c>
      <c r="BK25" s="30">
        <v>440.62799999999999</v>
      </c>
      <c r="BL25" s="31">
        <v>466.29199999999997</v>
      </c>
      <c r="BM25" s="32">
        <v>465.625</v>
      </c>
      <c r="BO25" s="33">
        <v>469.08100000000002</v>
      </c>
    </row>
    <row r="26" spans="62:80" x14ac:dyDescent="0.25">
      <c r="BJ26" s="29">
        <v>2025</v>
      </c>
      <c r="BK26" s="30">
        <v>443.88200000000001</v>
      </c>
      <c r="BL26" s="31">
        <v>470.83699999999999</v>
      </c>
      <c r="BM26" s="32">
        <v>470.08</v>
      </c>
      <c r="BO26" s="33">
        <v>473.10199999999998</v>
      </c>
    </row>
    <row r="27" spans="62:80" x14ac:dyDescent="0.25">
      <c r="BJ27" s="29">
        <v>2026</v>
      </c>
      <c r="BK27" s="30">
        <v>447.17099999999999</v>
      </c>
      <c r="BL27" s="31">
        <v>475.529</v>
      </c>
      <c r="BM27" s="32">
        <v>474.61900000000003</v>
      </c>
      <c r="BO27" s="33">
        <v>477.08</v>
      </c>
      <c r="BP27">
        <v>494</v>
      </c>
    </row>
    <row r="28" spans="62:80" x14ac:dyDescent="0.25">
      <c r="BJ28" s="29">
        <v>2027</v>
      </c>
      <c r="BK28" s="30">
        <v>450.46</v>
      </c>
      <c r="BL28" s="31">
        <v>480.23</v>
      </c>
      <c r="BM28" s="32">
        <v>479.178</v>
      </c>
      <c r="BO28" s="33">
        <v>481.15899999999999</v>
      </c>
    </row>
    <row r="29" spans="62:80" x14ac:dyDescent="0.25">
      <c r="BJ29" s="29">
        <v>2028</v>
      </c>
      <c r="BK29" s="30">
        <v>453.84100000000001</v>
      </c>
      <c r="BL29" s="31">
        <v>484.935</v>
      </c>
      <c r="BM29" s="32">
        <v>483.73099999999999</v>
      </c>
      <c r="BO29" s="33">
        <v>485.31</v>
      </c>
    </row>
    <row r="30" spans="62:80" x14ac:dyDescent="0.25">
      <c r="BJ30" s="29">
        <v>2029</v>
      </c>
      <c r="BK30" s="30">
        <v>457.221</v>
      </c>
      <c r="BL30" s="31">
        <v>489.56099999999998</v>
      </c>
      <c r="BM30" s="32">
        <v>488.22</v>
      </c>
    </row>
    <row r="31" spans="62:80" x14ac:dyDescent="0.25">
      <c r="BJ31" s="29">
        <v>2030</v>
      </c>
      <c r="BK31" s="30">
        <v>460.53300000000002</v>
      </c>
      <c r="BL31" s="31">
        <v>494.09199999999998</v>
      </c>
      <c r="BM31" s="32">
        <v>492.60399999999998</v>
      </c>
      <c r="BW31" s="34"/>
      <c r="BX31" s="34"/>
      <c r="BY31" s="34"/>
      <c r="BZ31" s="34"/>
      <c r="CA31" s="34"/>
      <c r="CB31" s="34"/>
    </row>
    <row r="32" spans="62:80" x14ac:dyDescent="0.25">
      <c r="BJ32" s="29">
        <v>2031</v>
      </c>
      <c r="BK32" s="30">
        <v>463.95100000000002</v>
      </c>
      <c r="BL32" s="31">
        <v>498.65</v>
      </c>
      <c r="BM32" s="32">
        <v>496.952</v>
      </c>
      <c r="BP32">
        <v>514</v>
      </c>
    </row>
    <row r="33" spans="1:100" x14ac:dyDescent="0.25">
      <c r="A33" s="19" t="s">
        <v>130</v>
      </c>
      <c r="N33" s="47" t="s">
        <v>61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J33" s="29">
        <v>2032</v>
      </c>
      <c r="BK33" s="30">
        <v>467.53500000000003</v>
      </c>
      <c r="BL33" s="31">
        <v>503.23</v>
      </c>
      <c r="BM33" s="32">
        <v>501.322</v>
      </c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</row>
    <row r="34" spans="1:100" x14ac:dyDescent="0.25">
      <c r="BJ34" s="29">
        <v>2033</v>
      </c>
      <c r="BK34" s="30">
        <v>471.08300000000003</v>
      </c>
      <c r="BL34" s="31">
        <v>507.65600000000001</v>
      </c>
      <c r="BM34" s="32">
        <v>505.53199999999998</v>
      </c>
    </row>
    <row r="35" spans="1:100" x14ac:dyDescent="0.25">
      <c r="BJ35" s="29">
        <v>2034</v>
      </c>
      <c r="BK35" s="30">
        <v>474.54199999999997</v>
      </c>
      <c r="BL35" s="31">
        <v>511.98</v>
      </c>
      <c r="BM35" s="32">
        <v>509.75900000000001</v>
      </c>
    </row>
    <row r="36" spans="1:100" x14ac:dyDescent="0.25">
      <c r="BJ36" s="29">
        <v>2035</v>
      </c>
      <c r="BK36" s="30">
        <v>477.88</v>
      </c>
      <c r="BL36" s="31">
        <v>516.20600000000002</v>
      </c>
      <c r="BM36" s="32">
        <v>513.94100000000003</v>
      </c>
    </row>
    <row r="37" spans="1:100" x14ac:dyDescent="0.25">
      <c r="BJ37" s="29">
        <v>2036</v>
      </c>
      <c r="BK37" s="30">
        <v>481.31900000000002</v>
      </c>
      <c r="BL37" s="31">
        <v>520.524</v>
      </c>
      <c r="BM37" s="32">
        <v>518.15099999999995</v>
      </c>
    </row>
    <row r="38" spans="1:100" x14ac:dyDescent="0.25">
      <c r="BJ38" s="29">
        <v>2037</v>
      </c>
      <c r="BK38" s="30">
        <v>484.79399999999998</v>
      </c>
      <c r="BL38" s="31">
        <v>524.93899999999996</v>
      </c>
      <c r="BM38" s="32">
        <v>522.41600000000005</v>
      </c>
    </row>
    <row r="39" spans="1:100" x14ac:dyDescent="0.25">
      <c r="BJ39" s="29">
        <v>2038</v>
      </c>
      <c r="BK39" s="30">
        <v>488.25200000000001</v>
      </c>
      <c r="BL39" s="31">
        <v>529.28599999999994</v>
      </c>
      <c r="BM39" s="36"/>
    </row>
    <row r="40" spans="1:100" x14ac:dyDescent="0.25">
      <c r="BJ40" s="29">
        <v>2039</v>
      </c>
      <c r="BK40" s="30">
        <v>491.61599999999999</v>
      </c>
      <c r="BL40" s="31">
        <v>533.52</v>
      </c>
      <c r="BM40" s="36"/>
    </row>
    <row r="41" spans="1:100" x14ac:dyDescent="0.25">
      <c r="BJ41" s="29">
        <v>2040</v>
      </c>
      <c r="BK41" s="30">
        <v>494.85599999999999</v>
      </c>
      <c r="BL41" s="37"/>
      <c r="BM41" s="36"/>
    </row>
    <row r="42" spans="1:100" x14ac:dyDescent="0.25">
      <c r="BJ42" s="29">
        <v>2041</v>
      </c>
      <c r="BK42" s="30">
        <v>498.13600000000002</v>
      </c>
      <c r="BL42" s="37"/>
      <c r="BM42" s="36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3"/>
  <sheetViews>
    <sheetView workbookViewId="0">
      <selection activeCell="T20" sqref="T20"/>
    </sheetView>
  </sheetViews>
  <sheetFormatPr defaultRowHeight="15" x14ac:dyDescent="0.25"/>
  <sheetData>
    <row r="1" spans="1:1" ht="21" x14ac:dyDescent="0.35">
      <c r="A1" s="83" t="s">
        <v>177</v>
      </c>
    </row>
    <row r="25" spans="1:11" x14ac:dyDescent="0.25">
      <c r="K25" s="47" t="s">
        <v>130</v>
      </c>
    </row>
    <row r="26" spans="1:11" x14ac:dyDescent="0.25">
      <c r="A26" s="19" t="s">
        <v>61</v>
      </c>
    </row>
    <row r="807" spans="1:25" x14ac:dyDescent="0.25">
      <c r="B807">
        <v>2011</v>
      </c>
      <c r="C807">
        <v>2012</v>
      </c>
      <c r="D807">
        <v>2013</v>
      </c>
      <c r="E807">
        <v>2014</v>
      </c>
      <c r="F807">
        <v>2015</v>
      </c>
      <c r="G807">
        <v>2016</v>
      </c>
      <c r="H807">
        <v>2017</v>
      </c>
      <c r="I807">
        <v>2018</v>
      </c>
      <c r="J807">
        <v>2019</v>
      </c>
      <c r="K807">
        <v>2020</v>
      </c>
      <c r="L807">
        <v>2021</v>
      </c>
      <c r="M807">
        <v>2022</v>
      </c>
      <c r="N807">
        <v>2023</v>
      </c>
      <c r="O807">
        <v>2024</v>
      </c>
      <c r="P807">
        <v>2025</v>
      </c>
      <c r="Q807">
        <v>2026</v>
      </c>
      <c r="R807">
        <v>2027</v>
      </c>
      <c r="S807">
        <v>2028</v>
      </c>
      <c r="T807">
        <v>2029</v>
      </c>
      <c r="U807">
        <v>2030</v>
      </c>
      <c r="V807">
        <v>2031</v>
      </c>
      <c r="W807" t="s">
        <v>175</v>
      </c>
      <c r="X807" t="s">
        <v>176</v>
      </c>
    </row>
    <row r="808" spans="1:25" x14ac:dyDescent="0.25">
      <c r="A808" t="s">
        <v>89</v>
      </c>
      <c r="B808" s="33">
        <v>407.77</v>
      </c>
      <c r="C808" s="33">
        <v>409.935</v>
      </c>
      <c r="D808" s="33">
        <v>411.09899999999999</v>
      </c>
      <c r="E808" s="33">
        <v>413.178</v>
      </c>
      <c r="F808" s="33">
        <v>415.59199999999998</v>
      </c>
      <c r="G808" s="33">
        <v>419.51900000000001</v>
      </c>
      <c r="H808" s="33">
        <v>421.91500000000002</v>
      </c>
      <c r="I808" s="33">
        <v>424.30599999999998</v>
      </c>
      <c r="J808" s="33">
        <v>426.56599999999997</v>
      </c>
      <c r="K808" s="33">
        <v>428.78399999999999</v>
      </c>
      <c r="L808" s="33">
        <v>430.90899999999999</v>
      </c>
      <c r="M808" s="33">
        <v>434.16800000000001</v>
      </c>
      <c r="N808" s="33">
        <v>437.37799999999999</v>
      </c>
      <c r="O808" s="33">
        <v>440.62799999999999</v>
      </c>
      <c r="P808" s="33">
        <v>443.88200000000001</v>
      </c>
      <c r="Q808" s="33">
        <v>447.17099999999999</v>
      </c>
      <c r="R808" s="33">
        <v>450.46</v>
      </c>
      <c r="S808" s="33">
        <v>453.84100000000001</v>
      </c>
      <c r="T808" s="33">
        <v>457.221</v>
      </c>
      <c r="U808" s="33">
        <v>460.53300000000002</v>
      </c>
      <c r="V808" s="33">
        <v>463.95100000000002</v>
      </c>
      <c r="W808" s="104">
        <f>V808-B808</f>
        <v>56.18100000000004</v>
      </c>
      <c r="X808">
        <f>W808/20</f>
        <v>2.8090500000000018</v>
      </c>
      <c r="Y808" s="103">
        <f>W808/B808*100</f>
        <v>13.77761973661624</v>
      </c>
    </row>
    <row r="809" spans="1:25" x14ac:dyDescent="0.25">
      <c r="A809" t="s">
        <v>90</v>
      </c>
      <c r="B809" s="33">
        <v>411.24</v>
      </c>
      <c r="C809" s="33">
        <v>415.46899999999999</v>
      </c>
      <c r="D809" s="33">
        <v>418.37900000000002</v>
      </c>
      <c r="E809" s="33">
        <v>422</v>
      </c>
      <c r="F809" s="33">
        <v>426.57499999999999</v>
      </c>
      <c r="G809" s="33">
        <v>431.21899999999999</v>
      </c>
      <c r="H809" s="33">
        <v>435.67899999999997</v>
      </c>
      <c r="I809" s="33">
        <v>439.99700000000001</v>
      </c>
      <c r="J809" s="33">
        <v>444.29700000000003</v>
      </c>
      <c r="K809" s="33">
        <v>448.709</v>
      </c>
      <c r="L809" s="33">
        <v>453.14600000000002</v>
      </c>
      <c r="M809" s="33">
        <v>457.49099999999999</v>
      </c>
      <c r="N809" s="33">
        <v>461.839</v>
      </c>
      <c r="O809" s="33">
        <v>466.29199999999997</v>
      </c>
      <c r="P809" s="33">
        <v>470.83699999999999</v>
      </c>
      <c r="Q809" s="33">
        <v>475.529</v>
      </c>
      <c r="R809" s="33">
        <v>480.23</v>
      </c>
      <c r="S809" s="33">
        <v>484.935</v>
      </c>
      <c r="T809" s="33">
        <v>489.56099999999998</v>
      </c>
      <c r="U809" s="33">
        <v>494.09199999999998</v>
      </c>
      <c r="V809" s="33">
        <v>498.65</v>
      </c>
      <c r="W809" s="104">
        <f t="shared" ref="W809:W810" si="0">V809-B809</f>
        <v>87.409999999999968</v>
      </c>
      <c r="X809">
        <f t="shared" ref="X809:X810" si="1">W809/20</f>
        <v>4.3704999999999981</v>
      </c>
      <c r="Y809" s="103">
        <f t="shared" ref="Y809:Y810" si="2">W809/B809*100</f>
        <v>21.255228090652654</v>
      </c>
    </row>
    <row r="810" spans="1:25" x14ac:dyDescent="0.25">
      <c r="A810" t="s">
        <v>91</v>
      </c>
      <c r="B810" s="33">
        <v>411.19499999999999</v>
      </c>
      <c r="C810" s="33">
        <v>415.44</v>
      </c>
      <c r="D810" s="33">
        <v>418.84500000000003</v>
      </c>
      <c r="E810" s="33">
        <v>422.74400000000003</v>
      </c>
      <c r="F810" s="33">
        <v>426.80599999999998</v>
      </c>
      <c r="G810" s="33">
        <v>431.08300000000003</v>
      </c>
      <c r="H810" s="33">
        <v>435.29399999999998</v>
      </c>
      <c r="I810" s="33">
        <v>439.51499999999999</v>
      </c>
      <c r="J810" s="33">
        <v>443.81900000000002</v>
      </c>
      <c r="K810" s="33">
        <v>448.20699999999999</v>
      </c>
      <c r="L810" s="33">
        <v>452.58100000000002</v>
      </c>
      <c r="M810" s="33">
        <v>456.86900000000003</v>
      </c>
      <c r="N810" s="33">
        <v>461.19499999999999</v>
      </c>
      <c r="O810" s="33">
        <v>465.625</v>
      </c>
      <c r="P810" s="33">
        <v>470.08</v>
      </c>
      <c r="Q810" s="33">
        <v>474.61900000000003</v>
      </c>
      <c r="R810" s="33">
        <v>479.178</v>
      </c>
      <c r="S810" s="33">
        <v>483.73099999999999</v>
      </c>
      <c r="T810" s="33">
        <v>488.22</v>
      </c>
      <c r="U810" s="33">
        <v>492.60399999999998</v>
      </c>
      <c r="V810" s="33">
        <v>496.952</v>
      </c>
      <c r="W810" s="104">
        <f t="shared" si="0"/>
        <v>85.757000000000005</v>
      </c>
      <c r="X810">
        <f t="shared" si="1"/>
        <v>4.2878500000000006</v>
      </c>
      <c r="Y810" s="103">
        <f t="shared" si="2"/>
        <v>20.85555515023286</v>
      </c>
    </row>
    <row r="812" spans="1:25" x14ac:dyDescent="0.25">
      <c r="W812" s="33">
        <f>W810-W808</f>
        <v>29.575999999999965</v>
      </c>
    </row>
    <row r="813" spans="1:25" x14ac:dyDescent="0.25">
      <c r="W813">
        <f>W812/W809*100</f>
        <v>33.835945543988075</v>
      </c>
    </row>
  </sheetData>
  <pageMargins left="0.23622047244094491" right="0.23622047244094491" top="0" bottom="0" header="0.31496062992125984" footer="0.3937007874015748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introduction</vt:lpstr>
      <vt:lpstr>age</vt:lpstr>
      <vt:lpstr>LAs in WMR</vt:lpstr>
      <vt:lpstr>Birmingham compare</vt:lpstr>
      <vt:lpstr>Birmingham Plan</vt:lpstr>
      <vt:lpstr>age!Print_Area</vt:lpstr>
      <vt:lpstr>'Birmingham compare'!Print_Area</vt:lpstr>
      <vt:lpstr>introduction!Print_Area</vt:lpstr>
      <vt:lpstr>'LAs in WMR'!Print_Area</vt:lpstr>
      <vt:lpstr>age!Print_Titles</vt:lpstr>
    </vt:vector>
  </TitlesOfParts>
  <Company>Service Birmingham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Henry</dc:creator>
  <cp:lastModifiedBy>Brenda Henry</cp:lastModifiedBy>
  <cp:lastPrinted>2018-10-10T09:56:55Z</cp:lastPrinted>
  <dcterms:created xsi:type="dcterms:W3CDTF">2018-10-08T10:39:13Z</dcterms:created>
  <dcterms:modified xsi:type="dcterms:W3CDTF">2018-10-10T11:54:34Z</dcterms:modified>
</cp:coreProperties>
</file>